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firstSheet="3" activeTab="4"/>
  </bookViews>
  <sheets>
    <sheet name="FORMAT 2" sheetId="1" state="hidden" r:id="rId1"/>
    <sheet name="FORMAT 3" sheetId="2" state="hidden" r:id="rId2"/>
    <sheet name="FORMAT 1" sheetId="4" state="hidden" r:id="rId3"/>
    <sheet name="Sheet1" sheetId="6" r:id="rId4"/>
    <sheet name="Sheet2" sheetId="7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1" i="7" l="1"/>
  <c r="R13" i="7" l="1"/>
  <c r="O95" i="7"/>
  <c r="O19" i="7"/>
  <c r="M17" i="7"/>
  <c r="I33" i="7"/>
  <c r="K33" i="7"/>
  <c r="K19" i="7" l="1"/>
  <c r="L19" i="7" s="1"/>
  <c r="K59" i="7" l="1"/>
  <c r="K65" i="7"/>
  <c r="K63" i="7"/>
  <c r="K51" i="7"/>
  <c r="K47" i="7"/>
  <c r="K43" i="7"/>
  <c r="K41" i="7"/>
  <c r="K29" i="7"/>
  <c r="K23" i="7"/>
  <c r="K21" i="7"/>
  <c r="C15" i="6"/>
  <c r="C16" i="6" l="1"/>
  <c r="B14" i="6"/>
  <c r="C17" i="6"/>
  <c r="R97" i="7"/>
  <c r="S97" i="7" s="1"/>
  <c r="O97" i="7"/>
  <c r="N97" i="7"/>
  <c r="K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O89" i="7" s="1"/>
  <c r="I89" i="7"/>
  <c r="R87" i="7"/>
  <c r="S87" i="7" s="1"/>
  <c r="O87" i="7"/>
  <c r="N87" i="7"/>
  <c r="K87" i="7"/>
  <c r="L87" i="7" s="1"/>
  <c r="R85" i="7"/>
  <c r="S85" i="7" s="1"/>
  <c r="O85" i="7"/>
  <c r="N85" i="7"/>
  <c r="Q85" i="7" s="1"/>
  <c r="L85" i="7"/>
  <c r="K85" i="7"/>
  <c r="R83" i="7"/>
  <c r="S83" i="7" s="1"/>
  <c r="O83" i="7"/>
  <c r="N83" i="7"/>
  <c r="Q83" i="7" s="1"/>
  <c r="K83" i="7"/>
  <c r="L83" i="7" s="1"/>
  <c r="R81" i="7"/>
  <c r="S81" i="7" s="1"/>
  <c r="O81" i="7"/>
  <c r="N81" i="7"/>
  <c r="K81" i="7"/>
  <c r="L81" i="7" s="1"/>
  <c r="R79" i="7"/>
  <c r="S79" i="7" s="1"/>
  <c r="O79" i="7"/>
  <c r="N79" i="7"/>
  <c r="K79" i="7"/>
  <c r="L79" i="7" s="1"/>
  <c r="R77" i="7"/>
  <c r="S77" i="7" s="1"/>
  <c r="O77" i="7"/>
  <c r="N77" i="7"/>
  <c r="Q77" i="7" s="1"/>
  <c r="L77" i="7"/>
  <c r="K77" i="7"/>
  <c r="R75" i="7"/>
  <c r="S75" i="7" s="1"/>
  <c r="O75" i="7"/>
  <c r="N75" i="7"/>
  <c r="Q75" i="7" s="1"/>
  <c r="K75" i="7"/>
  <c r="L75" i="7" s="1"/>
  <c r="M73" i="7"/>
  <c r="N73" i="7" s="1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S65" i="7"/>
  <c r="R65" i="7"/>
  <c r="O65" i="7"/>
  <c r="N65" i="7"/>
  <c r="S63" i="7"/>
  <c r="R63" i="7"/>
  <c r="O63" i="7"/>
  <c r="N63" i="7"/>
  <c r="M61" i="7"/>
  <c r="O61" i="7" s="1"/>
  <c r="I61" i="7"/>
  <c r="R59" i="7"/>
  <c r="S59" i="7" s="1"/>
  <c r="O59" i="7"/>
  <c r="P59" i="7" s="1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Q53" i="7" s="1"/>
  <c r="L53" i="7"/>
  <c r="K53" i="7"/>
  <c r="W51" i="7"/>
  <c r="R51" i="7"/>
  <c r="S51" i="7" s="1"/>
  <c r="O51" i="7"/>
  <c r="N51" i="7"/>
  <c r="Q51" i="7" s="1"/>
  <c r="L51" i="7"/>
  <c r="M49" i="7"/>
  <c r="O49" i="7" s="1"/>
  <c r="I49" i="7"/>
  <c r="K49" i="7" s="1"/>
  <c r="L49" i="7" s="1"/>
  <c r="R47" i="7"/>
  <c r="S47" i="7" s="1"/>
  <c r="Q47" i="7"/>
  <c r="O47" i="7"/>
  <c r="N47" i="7"/>
  <c r="L47" i="7"/>
  <c r="R45" i="7"/>
  <c r="S45" i="7" s="1"/>
  <c r="O45" i="7"/>
  <c r="N45" i="7"/>
  <c r="Q45" i="7" s="1"/>
  <c r="L45" i="7"/>
  <c r="P45" i="7" s="1"/>
  <c r="K45" i="7"/>
  <c r="R43" i="7"/>
  <c r="S43" i="7" s="1"/>
  <c r="Q43" i="7"/>
  <c r="O43" i="7"/>
  <c r="N43" i="7"/>
  <c r="L43" i="7"/>
  <c r="R41" i="7"/>
  <c r="S41" i="7" s="1"/>
  <c r="Q41" i="7"/>
  <c r="O41" i="7"/>
  <c r="N41" i="7"/>
  <c r="L41" i="7"/>
  <c r="P41" i="7" s="1"/>
  <c r="M39" i="7"/>
  <c r="I39" i="7"/>
  <c r="K39" i="7" s="1"/>
  <c r="R37" i="7"/>
  <c r="S37" i="7" s="1"/>
  <c r="O37" i="7"/>
  <c r="N37" i="7"/>
  <c r="Q37" i="7" s="1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Q31" i="7" s="1"/>
  <c r="L31" i="7"/>
  <c r="P31" i="7" s="1"/>
  <c r="K31" i="7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P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S13" i="7"/>
  <c r="O13" i="7"/>
  <c r="N13" i="7"/>
  <c r="Q13" i="7" s="1"/>
  <c r="L13" i="7"/>
  <c r="Q27" i="7" l="1"/>
  <c r="P75" i="7"/>
  <c r="P83" i="7"/>
  <c r="R89" i="7"/>
  <c r="S89" i="7" s="1"/>
  <c r="P57" i="7"/>
  <c r="Q25" i="7"/>
  <c r="Q35" i="7"/>
  <c r="P43" i="7"/>
  <c r="P53" i="7"/>
  <c r="Q55" i="7"/>
  <c r="R61" i="7"/>
  <c r="S61" i="7" s="1"/>
  <c r="K61" i="7"/>
  <c r="L61" i="7" s="1"/>
  <c r="P61" i="7" s="1"/>
  <c r="P77" i="7"/>
  <c r="Q79" i="7"/>
  <c r="P85" i="7"/>
  <c r="Q87" i="7"/>
  <c r="K89" i="7"/>
  <c r="L89" i="7" s="1"/>
  <c r="I99" i="7"/>
  <c r="I15" i="7" s="1"/>
  <c r="K17" i="7"/>
  <c r="L17" i="7" s="1"/>
  <c r="P81" i="7"/>
  <c r="P89" i="7"/>
  <c r="P29" i="7"/>
  <c r="M15" i="7"/>
  <c r="M99" i="7"/>
  <c r="P51" i="7"/>
  <c r="P55" i="7"/>
  <c r="Q57" i="7"/>
  <c r="R73" i="7"/>
  <c r="S73" i="7" s="1"/>
  <c r="P79" i="7"/>
  <c r="Q81" i="7"/>
  <c r="P87" i="7"/>
  <c r="S33" i="7"/>
  <c r="P49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73" i="7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Q89" i="7" s="1"/>
  <c r="N33" i="7"/>
  <c r="Q33" i="7" s="1"/>
  <c r="N49" i="7"/>
  <c r="Q49" i="7" s="1"/>
  <c r="N15" i="7" l="1"/>
  <c r="I11" i="7"/>
  <c r="R11" i="7" s="1"/>
  <c r="S11" i="7" s="1"/>
  <c r="K15" i="7"/>
  <c r="Q15" i="7" s="1"/>
  <c r="Q17" i="7"/>
  <c r="P17" i="7"/>
  <c r="N99" i="7"/>
  <c r="R99" i="7"/>
  <c r="P39" i="7"/>
  <c r="O15" i="7"/>
  <c r="R15" i="7"/>
  <c r="S15" i="7" s="1"/>
  <c r="Q39" i="7"/>
  <c r="P73" i="7"/>
  <c r="O99" i="7"/>
  <c r="K11" i="7" l="1"/>
  <c r="L11" i="7" s="1"/>
  <c r="L15" i="7"/>
  <c r="P15" i="7"/>
  <c r="N11" i="7"/>
  <c r="Q11" i="7" s="1"/>
  <c r="O11" i="7"/>
  <c r="P11" i="7" s="1"/>
  <c r="N15" i="6"/>
  <c r="M15" i="6"/>
  <c r="L15" i="6"/>
  <c r="K15" i="6"/>
  <c r="J15" i="6"/>
  <c r="I15" i="6"/>
  <c r="H15" i="6"/>
  <c r="G15" i="6"/>
  <c r="F15" i="6"/>
  <c r="E15" i="6"/>
  <c r="D15" i="6"/>
  <c r="D16" i="6" s="1"/>
  <c r="D17" i="6" s="1"/>
  <c r="K6" i="6"/>
  <c r="J6" i="6"/>
  <c r="I6" i="6"/>
  <c r="H6" i="6"/>
  <c r="G6" i="6"/>
  <c r="F6" i="6"/>
  <c r="E6" i="6"/>
  <c r="D6" i="6"/>
  <c r="C6" i="6"/>
  <c r="C7" i="6" s="1"/>
  <c r="C8" i="6" s="1"/>
  <c r="B5" i="6"/>
  <c r="D7" i="6" l="1"/>
  <c r="E7" i="6" s="1"/>
  <c r="E8" i="6" s="1"/>
  <c r="E16" i="6"/>
  <c r="E17" i="6" s="1"/>
  <c r="D8" i="6"/>
  <c r="F16" i="6" l="1"/>
  <c r="F7" i="6"/>
  <c r="G7" i="6" s="1"/>
  <c r="G8" i="6" s="1"/>
  <c r="F8" i="6" l="1"/>
  <c r="F17" i="6"/>
  <c r="G16" i="6"/>
  <c r="H7" i="6" l="1"/>
  <c r="H8" i="6" s="1"/>
  <c r="G17" i="6"/>
  <c r="H16" i="6"/>
  <c r="H17" i="6" l="1"/>
  <c r="I16" i="6"/>
  <c r="I7" i="6"/>
  <c r="I8" i="6" l="1"/>
  <c r="J7" i="6"/>
  <c r="I17" i="6"/>
  <c r="J16" i="6"/>
  <c r="J17" i="6" l="1"/>
  <c r="K16" i="6"/>
  <c r="J8" i="6"/>
  <c r="K7" i="6"/>
  <c r="K8" i="6" s="1"/>
  <c r="K17" i="6" l="1"/>
  <c r="L16" i="6"/>
  <c r="L17" i="6" l="1"/>
  <c r="M16" i="6"/>
  <c r="M17" i="6" l="1"/>
  <c r="N16" i="6"/>
  <c r="N17" i="6" s="1"/>
  <c r="AA12" i="2" l="1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AB12" i="2" l="1"/>
</calcChain>
</file>

<file path=xl/sharedStrings.xml><?xml version="1.0" encoding="utf-8"?>
<sst xmlns="http://schemas.openxmlformats.org/spreadsheetml/2006/main" count="261" uniqueCount="139">
  <si>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</si>
  <si>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</si>
  <si>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</si>
  <si>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</si>
  <si>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</si>
  <si>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</si>
  <si>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</si>
  <si>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</si>
  <si>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</si>
  <si>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</si>
  <si>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</si>
  <si>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</si>
  <si>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</si>
  <si>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</si>
  <si>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</si>
  <si>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</si>
  <si>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</si>
  <si>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</si>
  <si>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</si>
  <si>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</si>
  <si>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</si>
  <si>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</si>
  <si>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</si>
  <si>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</si>
  <si>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</si>
  <si>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</si>
  <si>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</si>
  <si>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</si>
  <si>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</si>
  <si>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</si>
  <si>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</si>
  <si>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</si>
  <si>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</si>
  <si>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</si>
  <si>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</si>
  <si>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</si>
  <si>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</si>
  <si>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</si>
  <si>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</si>
  <si>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</si>
  <si>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</si>
  <si>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</si>
  <si>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</si>
  <si>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</si>
  <si>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</si>
  <si>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</si>
  <si>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</si>
  <si>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</si>
  <si>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</si>
  <si>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</si>
  <si>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</si>
  <si>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</si>
  <si>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</si>
  <si>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</si>
  <si>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</si>
  <si>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</si>
  <si>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</si>
  <si>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</si>
  <si>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</si>
  <si>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</si>
  <si>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</si>
  <si>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</si>
  <si>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</si>
  <si>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</si>
  <si>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</si>
  <si>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</si>
  <si>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</si>
  <si>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</si>
  <si>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</si>
  <si>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</si>
  <si>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</si>
  <si>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</si>
  <si>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</si>
  <si>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</si>
  <si>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</si>
  <si>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</si>
  <si>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</si>
  <si>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</si>
  <si>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</si>
  <si>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</si>
  <si>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</si>
  <si>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</si>
  <si>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</si>
  <si>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</si>
  <si>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</si>
  <si>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</si>
  <si>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</si>
  <si>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</si>
  <si>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</si>
  <si>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</si>
  <si>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</si>
  <si>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</si>
  <si>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</si>
  <si>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</si>
  <si>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</si>
  <si>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</si>
  <si>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</si>
  <si>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</si>
  <si>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</si>
  <si>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</si>
  <si>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</si>
  <si>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</si>
  <si>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</si>
  <si>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</si>
  <si>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</si>
  <si>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</si>
  <si>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</si>
  <si>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</si>
  <si>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</si>
  <si>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</si>
  <si>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</si>
  <si>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</si>
  <si>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</si>
  <si>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</si>
  <si>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</si>
  <si>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</si>
  <si>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</si>
  <si>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</si>
  <si>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</si>
  <si>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</si>
  <si>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</si>
  <si>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</si>
  <si>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</si>
  <si>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</si>
  <si>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</si>
  <si>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</si>
  <si>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</si>
  <si>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pagu anggaran</t>
  </si>
  <si>
    <t>pembagian tw'</t>
  </si>
  <si>
    <t>akumulasi</t>
  </si>
  <si>
    <t>BTL</t>
  </si>
  <si>
    <t>BL</t>
  </si>
  <si>
    <t>CATATAN :</t>
  </si>
  <si>
    <t>UNTUK MENGETAHUI RENCANA FISIK % DAN RENCANA KEUANGAN DI LIAT DARI DPA JUMLAHNYA BERAPA DARI HASIL TRWIULAN 1 S/D 2 :</t>
  </si>
  <si>
    <t>Ket : 607.441.159 DAPET DARI TRIWULAN 1 DPA (1.822.323.476 : 3= 607.441.159)</t>
  </si>
  <si>
    <t>HASILNYA YAITU 84,25 %</t>
  </si>
  <si>
    <t>11 = Fis    (8-5)</t>
  </si>
  <si>
    <t>Serang,         September 2019</t>
  </si>
  <si>
    <t>KONDISI S/D BULAN AGUSTUS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</si>
</sst>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  <numFmt numFmtId="168" formatCode="_-* #,##0_-;\-* #,##0_-;_-* &quot;-&quot;??_-;_-@_-"/>
  </numFmts>
  <fonts count="3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  <font>
      <sz val="8"/>
      <color theme="5"/>
      <name val="Arial"/>
      <family val="2"/>
    </font>
    <font>
      <sz val="8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</cellStyleXfs>
  <cellXfs count="28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166" fontId="0" fillId="0" borderId="0" xfId="0" applyNumberFormat="1"/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 wrapText="1"/>
    </xf>
    <xf numFmtId="165" fontId="3" fillId="0" borderId="1" xfId="1" applyFont="1" applyBorder="1" applyAlignment="1">
      <alignment horizontal="center" vertical="center"/>
    </xf>
    <xf numFmtId="165" fontId="3" fillId="0" borderId="1" xfId="1" applyFont="1" applyBorder="1" applyAlignment="1">
      <alignment vertical="center"/>
    </xf>
    <xf numFmtId="165" fontId="0" fillId="0" borderId="0" xfId="0" applyNumberFormat="1"/>
    <xf numFmtId="165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4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7" fillId="0" borderId="0" xfId="3" applyFont="1" applyFill="1" applyAlignment="1">
      <alignment vertical="top" wrapText="1"/>
    </xf>
    <xf numFmtId="0" fontId="9" fillId="0" borderId="0" xfId="0" applyFont="1" applyFill="1" applyAlignment="1">
      <alignment vertical="top"/>
    </xf>
    <xf numFmtId="39" fontId="11" fillId="0" borderId="0" xfId="0" applyNumberFormat="1" applyFont="1" applyFill="1" applyAlignment="1">
      <alignment vertical="top"/>
    </xf>
    <xf numFmtId="167" fontId="11" fillId="0" borderId="0" xfId="0" applyNumberFormat="1" applyFont="1" applyFill="1" applyAlignment="1">
      <alignment vertical="top"/>
    </xf>
    <xf numFmtId="39" fontId="11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39" fontId="9" fillId="0" borderId="0" xfId="0" applyNumberFormat="1" applyFont="1" applyFill="1" applyAlignment="1">
      <alignment vertical="top"/>
    </xf>
    <xf numFmtId="164" fontId="11" fillId="0" borderId="0" xfId="0" applyNumberFormat="1" applyFont="1" applyFill="1" applyAlignment="1">
      <alignment vertical="top"/>
    </xf>
    <xf numFmtId="165" fontId="11" fillId="0" borderId="0" xfId="0" applyNumberFormat="1" applyFont="1" applyFill="1" applyAlignment="1">
      <alignment vertical="top"/>
    </xf>
    <xf numFmtId="165" fontId="11" fillId="0" borderId="0" xfId="1" applyFont="1" applyFill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165" fontId="6" fillId="0" borderId="0" xfId="1" applyFont="1" applyFill="1" applyAlignment="1">
      <alignment vertical="top"/>
    </xf>
    <xf numFmtId="2" fontId="19" fillId="0" borderId="0" xfId="0" applyNumberFormat="1" applyFont="1" applyFill="1" applyAlignment="1">
      <alignment vertical="top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4" fontId="10" fillId="0" borderId="0" xfId="3" applyNumberFormat="1" applyFont="1" applyFill="1" applyBorder="1" applyAlignment="1">
      <alignment horizontal="center" vertical="top"/>
    </xf>
    <xf numFmtId="164" fontId="10" fillId="0" borderId="0" xfId="3" applyNumberFormat="1" applyFont="1" applyFill="1" applyBorder="1">
      <alignment vertical="top"/>
    </xf>
    <xf numFmtId="164" fontId="10" fillId="0" borderId="0" xfId="3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6" fontId="21" fillId="0" borderId="1" xfId="1" applyNumberFormat="1" applyFont="1" applyBorder="1"/>
    <xf numFmtId="165" fontId="21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vertical="top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 readingOrder="1"/>
    </xf>
    <xf numFmtId="3" fontId="7" fillId="0" borderId="1" xfId="3" applyNumberFormat="1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3" fontId="6" fillId="0" borderId="1" xfId="3" applyNumberFormat="1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vertical="top"/>
    </xf>
    <xf numFmtId="4" fontId="10" fillId="0" borderId="1" xfId="3" applyNumberFormat="1" applyFont="1" applyFill="1" applyBorder="1" applyAlignment="1">
      <alignment vertical="top"/>
    </xf>
    <xf numFmtId="4" fontId="10" fillId="0" borderId="1" xfId="3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164" fontId="10" fillId="0" borderId="1" xfId="3" applyNumberFormat="1" applyFont="1" applyFill="1" applyBorder="1" applyAlignment="1">
      <alignment vertical="top"/>
    </xf>
    <xf numFmtId="164" fontId="10" fillId="0" borderId="1" xfId="3" applyNumberFormat="1" applyFont="1" applyFill="1" applyBorder="1" applyAlignment="1">
      <alignment vertical="top" wrapText="1"/>
    </xf>
    <xf numFmtId="39" fontId="7" fillId="0" borderId="1" xfId="0" applyNumberFormat="1" applyFont="1" applyFill="1" applyBorder="1" applyAlignment="1">
      <alignment horizontal="right" vertical="top"/>
    </xf>
    <xf numFmtId="4" fontId="17" fillId="0" borderId="1" xfId="3" applyNumberFormat="1" applyFont="1" applyFill="1" applyBorder="1" applyAlignment="1">
      <alignment horizontal="center" vertical="top"/>
    </xf>
    <xf numFmtId="39" fontId="10" fillId="0" borderId="1" xfId="0" applyNumberFormat="1" applyFont="1" applyFill="1" applyBorder="1" applyAlignment="1">
      <alignment horizontal="right" vertical="top"/>
    </xf>
    <xf numFmtId="37" fontId="7" fillId="0" borderId="1" xfId="0" applyNumberFormat="1" applyFont="1" applyFill="1" applyBorder="1" applyAlignment="1">
      <alignment horizontal="right" vertical="center"/>
    </xf>
    <xf numFmtId="37" fontId="7" fillId="0" borderId="1" xfId="0" applyNumberFormat="1" applyFont="1" applyFill="1" applyBorder="1" applyAlignment="1">
      <alignment horizontal="right" vertical="top"/>
    </xf>
    <xf numFmtId="39" fontId="7" fillId="0" borderId="1" xfId="0" applyNumberFormat="1" applyFont="1" applyFill="1" applyBorder="1" applyAlignment="1">
      <alignment horizontal="right" vertical="top" wrapText="1"/>
    </xf>
    <xf numFmtId="4" fontId="7" fillId="0" borderId="1" xfId="3" applyNumberFormat="1" applyFont="1" applyFill="1" applyBorder="1" applyAlignment="1">
      <alignment horizontal="center" vertical="top"/>
    </xf>
    <xf numFmtId="37" fontId="17" fillId="0" borderId="1" xfId="3" applyNumberFormat="1" applyFont="1" applyFill="1" applyBorder="1" applyAlignment="1">
      <alignment horizontal="right" vertical="center"/>
    </xf>
    <xf numFmtId="37" fontId="7" fillId="0" borderId="1" xfId="0" applyNumberFormat="1" applyFont="1" applyFill="1" applyBorder="1" applyAlignment="1">
      <alignment vertical="center"/>
    </xf>
    <xf numFmtId="164" fontId="17" fillId="0" borderId="1" xfId="3" applyNumberFormat="1" applyFont="1" applyFill="1" applyBorder="1" applyAlignment="1">
      <alignment vertical="top"/>
    </xf>
    <xf numFmtId="164" fontId="17" fillId="0" borderId="1" xfId="3" applyNumberFormat="1" applyFont="1" applyFill="1" applyBorder="1" applyAlignment="1">
      <alignment vertical="top" wrapText="1"/>
    </xf>
    <xf numFmtId="37" fontId="10" fillId="0" borderId="1" xfId="3" applyNumberFormat="1" applyFont="1" applyFill="1" applyBorder="1" applyAlignment="1">
      <alignment vertical="top"/>
    </xf>
    <xf numFmtId="164" fontId="25" fillId="0" borderId="1" xfId="3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6" fillId="0" borderId="1" xfId="3" applyNumberFormat="1" applyFont="1" applyFill="1" applyBorder="1" applyAlignment="1">
      <alignment horizontal="center" vertical="top"/>
    </xf>
    <xf numFmtId="37" fontId="10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top"/>
    </xf>
    <xf numFmtId="39" fontId="6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165" fontId="25" fillId="0" borderId="1" xfId="1" applyFont="1" applyFill="1" applyBorder="1" applyAlignment="1">
      <alignment vertical="top" wrapText="1"/>
    </xf>
    <xf numFmtId="3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39" fontId="7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0" fillId="0" borderId="1" xfId="1" applyFont="1" applyFill="1" applyBorder="1" applyAlignment="1">
      <alignment vertical="top"/>
    </xf>
    <xf numFmtId="165" fontId="10" fillId="0" borderId="1" xfId="1" applyFont="1" applyFill="1" applyBorder="1" applyAlignment="1">
      <alignment vertical="top" wrapText="1"/>
    </xf>
    <xf numFmtId="37" fontId="6" fillId="0" borderId="1" xfId="1" applyNumberFormat="1" applyFont="1" applyFill="1" applyBorder="1" applyAlignment="1">
      <alignment vertical="top"/>
    </xf>
    <xf numFmtId="165" fontId="6" fillId="0" borderId="1" xfId="1" applyFont="1" applyFill="1" applyBorder="1" applyAlignment="1">
      <alignment vertical="top"/>
    </xf>
    <xf numFmtId="165" fontId="6" fillId="0" borderId="1" xfId="1" applyFont="1" applyFill="1" applyBorder="1" applyAlignment="1">
      <alignment vertical="top" wrapText="1"/>
    </xf>
    <xf numFmtId="37" fontId="10" fillId="0" borderId="1" xfId="1" applyNumberFormat="1" applyFont="1" applyFill="1" applyBorder="1" applyAlignment="1">
      <alignment vertical="top"/>
    </xf>
    <xf numFmtId="167" fontId="6" fillId="0" borderId="1" xfId="2" applyNumberFormat="1" applyFont="1" applyFill="1" applyBorder="1" applyAlignment="1">
      <alignment vertical="top" wrapText="1"/>
    </xf>
    <xf numFmtId="167" fontId="6" fillId="0" borderId="1" xfId="2" applyNumberFormat="1" applyFont="1" applyFill="1" applyBorder="1" applyAlignment="1">
      <alignment horizontal="center" vertical="top" wrapText="1"/>
    </xf>
    <xf numFmtId="37" fontId="6" fillId="0" borderId="1" xfId="2" applyNumberFormat="1" applyFont="1" applyFill="1" applyBorder="1" applyAlignment="1">
      <alignment horizontal="right" vertical="center" wrapText="1"/>
    </xf>
    <xf numFmtId="37" fontId="6" fillId="0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 wrapText="1"/>
    </xf>
    <xf numFmtId="167" fontId="7" fillId="0" borderId="1" xfId="2" applyNumberFormat="1" applyFont="1" applyFill="1" applyBorder="1" applyAlignment="1">
      <alignment vertical="top" wrapText="1"/>
    </xf>
    <xf numFmtId="37" fontId="10" fillId="2" borderId="1" xfId="3" applyNumberFormat="1" applyFont="1" applyFill="1" applyBorder="1" applyAlignment="1">
      <alignment horizontal="right" vertical="center"/>
    </xf>
    <xf numFmtId="39" fontId="6" fillId="0" borderId="1" xfId="0" applyNumberFormat="1" applyFont="1" applyFill="1" applyBorder="1" applyAlignment="1">
      <alignment vertical="top"/>
    </xf>
    <xf numFmtId="39" fontId="7" fillId="0" borderId="1" xfId="0" applyNumberFormat="1" applyFont="1" applyFill="1" applyBorder="1" applyAlignment="1">
      <alignment vertical="top"/>
    </xf>
    <xf numFmtId="39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/>
    </xf>
    <xf numFmtId="167" fontId="10" fillId="0" borderId="1" xfId="3" applyNumberFormat="1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top"/>
    </xf>
    <xf numFmtId="37" fontId="10" fillId="0" borderId="1" xfId="3" applyNumberFormat="1" applyFont="1" applyFill="1" applyBorder="1" applyAlignment="1">
      <alignment horizontal="center" vertical="top"/>
    </xf>
    <xf numFmtId="4" fontId="26" fillId="0" borderId="1" xfId="3" applyNumberFormat="1" applyFont="1" applyFill="1" applyBorder="1" applyAlignment="1">
      <alignment horizontal="center" vertical="top"/>
    </xf>
    <xf numFmtId="164" fontId="17" fillId="0" borderId="1" xfId="3" applyNumberFormat="1" applyFont="1" applyFill="1" applyBorder="1">
      <alignment vertical="top"/>
    </xf>
    <xf numFmtId="0" fontId="11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right" vertical="center"/>
    </xf>
    <xf numFmtId="37" fontId="7" fillId="0" borderId="1" xfId="0" applyNumberFormat="1" applyFont="1" applyBorder="1" applyAlignment="1">
      <alignment horizontal="right" vertical="center"/>
    </xf>
    <xf numFmtId="37" fontId="17" fillId="0" borderId="1" xfId="3" applyNumberFormat="1" applyFont="1" applyBorder="1" applyAlignment="1">
      <alignment horizontal="right" vertical="center"/>
    </xf>
    <xf numFmtId="37" fontId="10" fillId="0" borderId="1" xfId="3" applyNumberFormat="1" applyFont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6" fillId="0" borderId="1" xfId="2" applyNumberFormat="1" applyFont="1" applyBorder="1" applyAlignment="1">
      <alignment horizontal="right" vertical="center" wrapText="1"/>
    </xf>
    <xf numFmtId="37" fontId="7" fillId="0" borderId="1" xfId="0" applyNumberFormat="1" applyFont="1" applyBorder="1" applyAlignment="1">
      <alignment vertical="center"/>
    </xf>
    <xf numFmtId="37" fontId="10" fillId="0" borderId="1" xfId="0" applyNumberFormat="1" applyFont="1" applyBorder="1" applyAlignment="1">
      <alignment horizontal="right" vertical="center"/>
    </xf>
    <xf numFmtId="37" fontId="6" fillId="0" borderId="1" xfId="0" applyNumberFormat="1" applyFont="1" applyBorder="1" applyAlignment="1">
      <alignment vertical="center"/>
    </xf>
    <xf numFmtId="37" fontId="6" fillId="0" borderId="1" xfId="2" applyNumberFormat="1" applyFont="1" applyBorder="1" applyAlignment="1">
      <alignment vertical="center" wrapText="1"/>
    </xf>
    <xf numFmtId="37" fontId="6" fillId="0" borderId="1" xfId="0" applyNumberFormat="1" applyFont="1" applyFill="1" applyBorder="1" applyAlignment="1">
      <alignment horizontal="right" vertical="top"/>
    </xf>
    <xf numFmtId="43" fontId="11" fillId="0" borderId="0" xfId="0" applyNumberFormat="1" applyFont="1" applyFill="1" applyBorder="1" applyAlignment="1">
      <alignment vertical="top"/>
    </xf>
    <xf numFmtId="0" fontId="8" fillId="0" borderId="0" xfId="3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164" fontId="7" fillId="0" borderId="1" xfId="2" applyNumberFormat="1" applyFont="1" applyFill="1" applyBorder="1" applyAlignment="1">
      <alignment horizontal="center" vertical="top" wrapText="1" readingOrder="1"/>
    </xf>
    <xf numFmtId="3" fontId="7" fillId="0" borderId="1" xfId="0" applyNumberFormat="1" applyFont="1" applyFill="1" applyBorder="1" applyAlignment="1">
      <alignment horizontal="right" vertical="top" wrapText="1" readingOrder="1"/>
    </xf>
    <xf numFmtId="164" fontId="7" fillId="0" borderId="1" xfId="0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center" vertical="top"/>
    </xf>
    <xf numFmtId="164" fontId="6" fillId="0" borderId="1" xfId="2" applyFont="1" applyFill="1" applyBorder="1" applyAlignment="1">
      <alignment horizontal="center" vertical="top"/>
    </xf>
    <xf numFmtId="164" fontId="6" fillId="0" borderId="1" xfId="2" applyFont="1" applyFill="1" applyBorder="1" applyAlignment="1">
      <alignment vertical="top"/>
    </xf>
    <xf numFmtId="168" fontId="6" fillId="0" borderId="1" xfId="0" applyNumberFormat="1" applyFont="1" applyFill="1" applyBorder="1" applyAlignment="1">
      <alignment horizontal="center" vertical="top"/>
    </xf>
    <xf numFmtId="168" fontId="6" fillId="0" borderId="1" xfId="0" applyNumberFormat="1" applyFont="1" applyFill="1" applyBorder="1" applyAlignment="1">
      <alignment vertical="top"/>
    </xf>
    <xf numFmtId="43" fontId="6" fillId="0" borderId="1" xfId="0" applyNumberFormat="1" applyFont="1" applyFill="1" applyBorder="1" applyAlignment="1">
      <alignment vertical="top"/>
    </xf>
    <xf numFmtId="43" fontId="28" fillId="0" borderId="1" xfId="0" applyNumberFormat="1" applyFont="1" applyFill="1" applyBorder="1" applyAlignment="1">
      <alignment vertical="top" wrapText="1"/>
    </xf>
    <xf numFmtId="43" fontId="11" fillId="0" borderId="1" xfId="0" applyNumberFormat="1" applyFont="1" applyFill="1" applyBorder="1" applyAlignment="1">
      <alignment vertical="top"/>
    </xf>
    <xf numFmtId="2" fontId="6" fillId="0" borderId="1" xfId="3" applyNumberFormat="1" applyFont="1" applyFill="1" applyBorder="1" applyAlignment="1">
      <alignment horizontal="right" vertical="center" wrapText="1"/>
    </xf>
    <xf numFmtId="164" fontId="6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horizontal="right" vertical="center" wrapText="1"/>
    </xf>
    <xf numFmtId="164" fontId="6" fillId="0" borderId="1" xfId="2" applyFont="1" applyFill="1" applyBorder="1" applyAlignment="1">
      <alignment horizontal="right" vertical="center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7" fillId="0" borderId="1" xfId="3" applyFont="1" applyFill="1" applyBorder="1" applyAlignment="1">
      <alignment horizontal="right" vertical="center" wrapText="1"/>
    </xf>
    <xf numFmtId="39" fontId="7" fillId="0" borderId="1" xfId="0" applyNumberFormat="1" applyFont="1" applyBorder="1" applyAlignment="1">
      <alignment horizontal="right" vertical="center"/>
    </xf>
    <xf numFmtId="165" fontId="11" fillId="0" borderId="1" xfId="1" applyNumberFormat="1" applyFont="1" applyBorder="1"/>
    <xf numFmtId="39" fontId="10" fillId="0" borderId="1" xfId="3" applyNumberFormat="1" applyFont="1" applyBorder="1" applyAlignment="1">
      <alignment horizontal="right" vertical="center"/>
    </xf>
    <xf numFmtId="37" fontId="10" fillId="0" borderId="1" xfId="0" applyNumberFormat="1" applyFont="1" applyFill="1" applyBorder="1" applyAlignment="1">
      <alignment horizontal="right" vertical="top"/>
    </xf>
    <xf numFmtId="39" fontId="17" fillId="0" borderId="1" xfId="0" applyNumberFormat="1" applyFont="1" applyFill="1" applyBorder="1" applyAlignment="1">
      <alignment horizontal="right" vertical="center"/>
    </xf>
    <xf numFmtId="0" fontId="6" fillId="0" borderId="1" xfId="3" applyNumberFormat="1" applyFont="1" applyFill="1" applyBorder="1" applyAlignment="1">
      <alignment horizontal="right" vertical="center" wrapText="1"/>
    </xf>
    <xf numFmtId="0" fontId="1" fillId="0" borderId="0" xfId="0" applyFont="1"/>
    <xf numFmtId="3" fontId="29" fillId="0" borderId="1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horizontal="center" vertical="top"/>
    </xf>
    <xf numFmtId="43" fontId="6" fillId="0" borderId="0" xfId="0" applyNumberFormat="1" applyFont="1" applyFill="1" applyBorder="1" applyAlignment="1">
      <alignment vertical="top"/>
    </xf>
    <xf numFmtId="43" fontId="28" fillId="0" borderId="0" xfId="0" applyNumberFormat="1" applyFont="1" applyFill="1" applyBorder="1" applyAlignment="1">
      <alignment vertical="top" wrapText="1"/>
    </xf>
    <xf numFmtId="168" fontId="6" fillId="0" borderId="0" xfId="0" applyNumberFormat="1" applyFont="1" applyFill="1" applyBorder="1" applyAlignment="1">
      <alignment vertical="top"/>
    </xf>
    <xf numFmtId="39" fontId="17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39" fontId="11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3" fontId="6" fillId="0" borderId="1" xfId="3" applyNumberFormat="1" applyFont="1" applyFill="1" applyBorder="1" applyAlignment="1">
      <alignment horizontal="right" vertical="center" wrapText="1"/>
    </xf>
    <xf numFmtId="43" fontId="7" fillId="0" borderId="0" xfId="0" applyNumberFormat="1" applyFont="1" applyFill="1" applyAlignment="1">
      <alignment vertical="top"/>
    </xf>
    <xf numFmtId="39" fontId="11" fillId="0" borderId="1" xfId="0" applyNumberFormat="1" applyFont="1" applyFill="1" applyBorder="1" applyAlignment="1">
      <alignment vertical="top"/>
    </xf>
    <xf numFmtId="4" fontId="26" fillId="2" borderId="1" xfId="3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2" xfId="1" applyFont="1" applyBorder="1" applyAlignment="1">
      <alignment horizontal="center" vertical="center"/>
    </xf>
    <xf numFmtId="165" fontId="3" fillId="0" borderId="6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4" xfId="1" applyFont="1" applyBorder="1" applyAlignment="1">
      <alignment horizontal="center" vertical="center"/>
    </xf>
    <xf numFmtId="165" fontId="3" fillId="0" borderId="5" xfId="1" applyFont="1" applyBorder="1" applyAlignment="1">
      <alignment horizontal="center" vertical="center"/>
    </xf>
    <xf numFmtId="165" fontId="3" fillId="0" borderId="7" xfId="1" applyFont="1" applyBorder="1" applyAlignment="1">
      <alignment horizontal="center" vertical="center"/>
    </xf>
    <xf numFmtId="165" fontId="3" fillId="0" borderId="8" xfId="1" applyFont="1" applyBorder="1" applyAlignment="1">
      <alignment horizontal="center" vertical="center"/>
    </xf>
    <xf numFmtId="165" fontId="3" fillId="0" borderId="9" xfId="1" applyFont="1" applyBorder="1" applyAlignment="1">
      <alignment horizontal="center" vertical="center"/>
    </xf>
    <xf numFmtId="165" fontId="3" fillId="0" borderId="10" xfId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0" fillId="0" borderId="2" xfId="1" applyFont="1" applyBorder="1" applyAlignment="1">
      <alignment horizontal="center" vertical="center"/>
    </xf>
    <xf numFmtId="165" fontId="0" fillId="0" borderId="6" xfId="1" applyFont="1" applyBorder="1" applyAlignment="1">
      <alignment horizontal="center" vertical="center"/>
    </xf>
    <xf numFmtId="164" fontId="11" fillId="0" borderId="1" xfId="2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164" fontId="6" fillId="0" borderId="1" xfId="2" applyFont="1" applyFill="1" applyBorder="1" applyAlignment="1">
      <alignment horizontal="center" vertical="top"/>
    </xf>
    <xf numFmtId="0" fontId="12" fillId="0" borderId="0" xfId="3" applyFont="1" applyFill="1" applyAlignment="1">
      <alignment horizontal="left" vertical="top"/>
    </xf>
    <xf numFmtId="0" fontId="13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4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 vertical="center" wrapText="1" readingOrder="1"/>
    </xf>
    <xf numFmtId="0" fontId="7" fillId="0" borderId="6" xfId="0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left" vertical="center" wrapText="1" readingOrder="1"/>
    </xf>
    <xf numFmtId="0" fontId="7" fillId="0" borderId="3" xfId="0" applyFont="1" applyFill="1" applyBorder="1" applyAlignment="1">
      <alignment horizontal="left" vertical="center" wrapText="1" readingOrder="1"/>
    </xf>
    <xf numFmtId="0" fontId="7" fillId="0" borderId="6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center" vertical="top"/>
    </xf>
    <xf numFmtId="0" fontId="16" fillId="0" borderId="6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6" fillId="0" borderId="0" xfId="3" applyFont="1" applyFill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7" fillId="0" borderId="0" xfId="3" applyFont="1" applyAlignment="1">
      <alignment horizontal="center" vertical="top"/>
    </xf>
    <xf numFmtId="0" fontId="7" fillId="0" borderId="0" xfId="3" applyFont="1" applyFill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/>
    <cellStyle name="Normal 3" xfId="5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04" t="s">
        <v>3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</row>
    <row r="8" spans="1:26" ht="15.75">
      <c r="A8" s="51"/>
      <c r="B8" s="52"/>
      <c r="C8" s="205" t="s">
        <v>4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</row>
    <row r="9" spans="1:26">
      <c r="A9" s="53"/>
      <c r="B9" s="54"/>
      <c r="C9" s="206" t="s">
        <v>5</v>
      </c>
      <c r="D9" s="206"/>
      <c r="E9" s="206" t="s">
        <v>6</v>
      </c>
      <c r="F9" s="206"/>
      <c r="G9" s="206" t="s">
        <v>7</v>
      </c>
      <c r="H9" s="206"/>
      <c r="I9" s="206" t="s">
        <v>8</v>
      </c>
      <c r="J9" s="206"/>
      <c r="K9" s="206" t="s">
        <v>9</v>
      </c>
      <c r="L9" s="206"/>
      <c r="M9" s="206" t="s">
        <v>10</v>
      </c>
      <c r="N9" s="206"/>
      <c r="O9" s="206" t="s">
        <v>11</v>
      </c>
      <c r="P9" s="206"/>
      <c r="Q9" s="206" t="s">
        <v>12</v>
      </c>
      <c r="R9" s="206"/>
      <c r="S9" s="206" t="s">
        <v>13</v>
      </c>
      <c r="T9" s="206"/>
      <c r="U9" s="206" t="s">
        <v>14</v>
      </c>
      <c r="V9" s="206"/>
      <c r="W9" s="206" t="s">
        <v>15</v>
      </c>
      <c r="X9" s="206"/>
      <c r="Y9" s="206" t="s">
        <v>16</v>
      </c>
      <c r="Z9" s="206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202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203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203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203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04" t="s">
        <v>28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</row>
    <row r="7" spans="1:28" ht="15.75">
      <c r="A7" s="51"/>
      <c r="B7" s="52"/>
      <c r="C7" s="205" t="s">
        <v>4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</row>
    <row r="8" spans="1:28">
      <c r="A8" s="53"/>
      <c r="B8" s="54"/>
      <c r="C8" s="208" t="s">
        <v>5</v>
      </c>
      <c r="D8" s="208"/>
      <c r="E8" s="208" t="s">
        <v>6</v>
      </c>
      <c r="F8" s="208"/>
      <c r="G8" s="208" t="s">
        <v>7</v>
      </c>
      <c r="H8" s="208"/>
      <c r="I8" s="208" t="s">
        <v>8</v>
      </c>
      <c r="J8" s="208"/>
      <c r="K8" s="208" t="s">
        <v>9</v>
      </c>
      <c r="L8" s="208"/>
      <c r="M8" s="208" t="s">
        <v>10</v>
      </c>
      <c r="N8" s="208"/>
      <c r="O8" s="208" t="s">
        <v>11</v>
      </c>
      <c r="P8" s="208"/>
      <c r="Q8" s="208" t="s">
        <v>12</v>
      </c>
      <c r="R8" s="208"/>
      <c r="S8" s="208" t="s">
        <v>13</v>
      </c>
      <c r="T8" s="208"/>
      <c r="U8" s="208" t="s">
        <v>14</v>
      </c>
      <c r="V8" s="208"/>
      <c r="W8" s="208" t="s">
        <v>15</v>
      </c>
      <c r="X8" s="208"/>
      <c r="Y8" s="208" t="s">
        <v>16</v>
      </c>
      <c r="Z8" s="208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07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207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207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207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209" t="s">
        <v>85</v>
      </c>
      <c r="B2" s="209"/>
      <c r="C2" s="209"/>
      <c r="D2" s="209"/>
      <c r="E2" s="209"/>
      <c r="F2" s="209"/>
      <c r="G2" s="209"/>
      <c r="H2" s="209"/>
      <c r="I2" s="209"/>
      <c r="J2" s="209"/>
    </row>
    <row r="4" spans="1:10">
      <c r="A4" s="2" t="s">
        <v>86</v>
      </c>
      <c r="C4" s="208" t="s">
        <v>87</v>
      </c>
      <c r="D4" s="208"/>
      <c r="F4" s="210" t="s">
        <v>88</v>
      </c>
      <c r="G4" s="210"/>
      <c r="I4" s="208" t="s">
        <v>89</v>
      </c>
      <c r="J4" s="208"/>
    </row>
    <row r="5" spans="1:10" ht="60" customHeight="1">
      <c r="A5" s="8">
        <v>6005540790</v>
      </c>
      <c r="C5" s="206"/>
      <c r="D5" s="206"/>
      <c r="F5" s="211" t="s">
        <v>90</v>
      </c>
      <c r="G5" s="212"/>
      <c r="I5" s="213" t="s">
        <v>91</v>
      </c>
      <c r="J5" s="214"/>
    </row>
    <row r="6" spans="1:10" ht="29.25" customHeight="1"/>
    <row r="7" spans="1:10">
      <c r="A7" s="3" t="s">
        <v>92</v>
      </c>
      <c r="F7" s="208" t="s">
        <v>93</v>
      </c>
      <c r="G7" s="208"/>
    </row>
    <row r="8" spans="1:10" ht="39.75" customHeight="1">
      <c r="A8" s="9">
        <v>2961016425</v>
      </c>
      <c r="C8" s="10"/>
      <c r="F8" s="215">
        <v>3044524365</v>
      </c>
      <c r="G8" s="216"/>
    </row>
    <row r="9" spans="1:10" ht="33.75" customHeight="1"/>
    <row r="10" spans="1:10">
      <c r="A10" s="2" t="s">
        <v>94</v>
      </c>
      <c r="C10" s="217" t="s">
        <v>95</v>
      </c>
      <c r="D10" s="217"/>
      <c r="F10" s="217" t="s">
        <v>94</v>
      </c>
      <c r="G10" s="217"/>
      <c r="I10" s="208" t="s">
        <v>95</v>
      </c>
      <c r="J10" s="208"/>
    </row>
    <row r="11" spans="1:10">
      <c r="A11" s="218">
        <v>2961016425</v>
      </c>
      <c r="C11" s="2" t="s">
        <v>96</v>
      </c>
      <c r="D11" s="2" t="s">
        <v>97</v>
      </c>
      <c r="F11" s="220">
        <v>100802000</v>
      </c>
      <c r="G11" s="221"/>
      <c r="H11" s="11"/>
      <c r="I11" s="220">
        <v>2943722365</v>
      </c>
      <c r="J11" s="221"/>
    </row>
    <row r="12" spans="1:10" ht="38.25" customHeight="1">
      <c r="A12" s="219"/>
      <c r="C12" s="12"/>
      <c r="D12" s="12"/>
      <c r="F12" s="222"/>
      <c r="G12" s="223"/>
      <c r="H12" s="11"/>
      <c r="I12" s="222"/>
      <c r="J12" s="223"/>
    </row>
    <row r="13" spans="1:10" ht="45" customHeight="1"/>
    <row r="14" spans="1:10">
      <c r="F14" s="208" t="s">
        <v>98</v>
      </c>
      <c r="G14" s="208"/>
      <c r="I14" s="208" t="s">
        <v>99</v>
      </c>
      <c r="J14" s="208"/>
    </row>
    <row r="15" spans="1:10" ht="47.25" customHeight="1">
      <c r="F15" s="224">
        <v>2943722365</v>
      </c>
      <c r="G15" s="225"/>
      <c r="I15" s="226">
        <v>0</v>
      </c>
      <c r="J15" s="227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17" t="s">
        <v>104</v>
      </c>
      <c r="I18" s="217"/>
    </row>
    <row r="19" spans="6:9" ht="38.25" customHeight="1">
      <c r="F19" s="12"/>
      <c r="G19" s="12"/>
      <c r="H19" s="206"/>
      <c r="I19" s="206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D15" sqref="D15"/>
    </sheetView>
  </sheetViews>
  <sheetFormatPr defaultRowHeight="15"/>
  <cols>
    <col min="2" max="2" width="17.28515625" customWidth="1"/>
    <col min="3" max="3" width="15.85546875" customWidth="1"/>
    <col min="4" max="4" width="17" customWidth="1"/>
    <col min="5" max="5" width="18.140625" customWidth="1"/>
    <col min="6" max="6" width="13.42578125" customWidth="1"/>
    <col min="7" max="7" width="16.85546875" customWidth="1"/>
    <col min="8" max="8" width="18.85546875" customWidth="1"/>
    <col min="9" max="9" width="20.28515625" customWidth="1"/>
    <col min="10" max="10" width="21.7109375" customWidth="1"/>
    <col min="11" max="11" width="15.28515625" customWidth="1"/>
    <col min="12" max="12" width="14.28515625" customWidth="1"/>
    <col min="13" max="13" width="16" customWidth="1"/>
    <col min="14" max="14" width="19" customWidth="1"/>
  </cols>
  <sheetData>
    <row r="1" spans="1:14">
      <c r="A1" s="183" t="s">
        <v>132</v>
      </c>
    </row>
    <row r="2" spans="1:14">
      <c r="A2" s="183" t="s">
        <v>133</v>
      </c>
    </row>
    <row r="4" spans="1:14">
      <c r="A4" s="21" t="s">
        <v>130</v>
      </c>
      <c r="B4" s="22"/>
      <c r="C4" s="22"/>
      <c r="D4" s="22"/>
      <c r="E4" s="20"/>
      <c r="F4" s="20"/>
      <c r="G4" s="20"/>
      <c r="H4" s="23"/>
      <c r="I4" s="24"/>
      <c r="J4" s="20"/>
      <c r="K4" s="20"/>
      <c r="L4" s="20"/>
      <c r="M4" s="20"/>
      <c r="N4" s="20"/>
    </row>
    <row r="5" spans="1:14">
      <c r="A5" s="113" t="s">
        <v>127</v>
      </c>
      <c r="B5" s="184">
        <f>SUM(C5:K5)</f>
        <v>4072064016</v>
      </c>
      <c r="C5" s="229">
        <v>1822323476</v>
      </c>
      <c r="D5" s="229"/>
      <c r="E5" s="229"/>
      <c r="F5" s="230">
        <v>1608588940</v>
      </c>
      <c r="G5" s="230"/>
      <c r="H5" s="230"/>
      <c r="I5" s="228">
        <v>641151600</v>
      </c>
      <c r="J5" s="228"/>
      <c r="K5" s="228"/>
      <c r="L5" s="20"/>
      <c r="M5" s="20"/>
      <c r="N5" s="20"/>
    </row>
    <row r="6" spans="1:14">
      <c r="A6" s="113" t="s">
        <v>128</v>
      </c>
      <c r="B6" s="133"/>
      <c r="C6" s="163">
        <f>C5/3</f>
        <v>607441158.66666663</v>
      </c>
      <c r="D6" s="164">
        <f>C5/3</f>
        <v>607441158.66666663</v>
      </c>
      <c r="E6" s="165">
        <f>C5/3</f>
        <v>607441158.66666663</v>
      </c>
      <c r="F6" s="163">
        <f>F5/3</f>
        <v>536196313.33333331</v>
      </c>
      <c r="G6" s="164">
        <f>F5/3</f>
        <v>536196313.33333331</v>
      </c>
      <c r="H6" s="165">
        <f>F5/3</f>
        <v>536196313.33333331</v>
      </c>
      <c r="I6" s="163">
        <f>I5/3</f>
        <v>213717200</v>
      </c>
      <c r="J6" s="164">
        <f>I5/3</f>
        <v>213717200</v>
      </c>
      <c r="K6" s="165">
        <f>I5/3</f>
        <v>213717200</v>
      </c>
      <c r="L6" s="20"/>
      <c r="M6" s="20"/>
      <c r="N6" s="20"/>
    </row>
    <row r="7" spans="1:14">
      <c r="A7" s="113" t="s">
        <v>129</v>
      </c>
      <c r="B7" s="133"/>
      <c r="C7" s="166">
        <f>C6</f>
        <v>607441158.66666663</v>
      </c>
      <c r="D7" s="166">
        <f>D6+C7</f>
        <v>1214882317.3333333</v>
      </c>
      <c r="E7" s="167">
        <f t="shared" ref="E7:K7" si="0">E6+D7</f>
        <v>1822323476</v>
      </c>
      <c r="F7" s="166">
        <f t="shared" si="0"/>
        <v>2358519789.3333335</v>
      </c>
      <c r="G7" s="166">
        <f>G6+F7</f>
        <v>2894716102.666667</v>
      </c>
      <c r="H7" s="167">
        <f t="shared" si="0"/>
        <v>3430912416.0000005</v>
      </c>
      <c r="I7" s="166">
        <f t="shared" si="0"/>
        <v>3644629616.0000005</v>
      </c>
      <c r="J7" s="166">
        <f t="shared" si="0"/>
        <v>3858346816.0000005</v>
      </c>
      <c r="K7" s="167">
        <f t="shared" si="0"/>
        <v>4072064016.0000005</v>
      </c>
      <c r="L7" s="20"/>
      <c r="M7" s="20"/>
      <c r="N7" s="20"/>
    </row>
    <row r="8" spans="1:14">
      <c r="A8" s="113" t="s">
        <v>18</v>
      </c>
      <c r="B8" s="133"/>
      <c r="C8" s="133">
        <f>C7/B5*100</f>
        <v>14.917279204843096</v>
      </c>
      <c r="D8" s="133">
        <f>D7/B5*100</f>
        <v>29.834558409686192</v>
      </c>
      <c r="E8" s="168">
        <f>E7/B5*100</f>
        <v>44.751837614529286</v>
      </c>
      <c r="F8" s="168">
        <f>F7/B5*100</f>
        <v>57.919516492525922</v>
      </c>
      <c r="G8" s="168">
        <f>G7/B5*100</f>
        <v>71.087195370522565</v>
      </c>
      <c r="H8" s="169">
        <f>H7/B5*100</f>
        <v>84.254874248519201</v>
      </c>
      <c r="I8" s="170">
        <f>I7/B5*100</f>
        <v>89.50324949901281</v>
      </c>
      <c r="J8" s="168">
        <f>J7/B5*100</f>
        <v>94.751624749506405</v>
      </c>
      <c r="K8" s="167">
        <f>K7/B5*100</f>
        <v>100.00000000000003</v>
      </c>
      <c r="L8" s="20"/>
      <c r="M8" s="20"/>
      <c r="N8" s="20"/>
    </row>
    <row r="9" spans="1:14">
      <c r="A9" s="185"/>
      <c r="B9" s="186"/>
      <c r="C9" s="186"/>
      <c r="D9" s="186"/>
      <c r="E9" s="187"/>
      <c r="F9" s="187"/>
      <c r="G9" s="187"/>
      <c r="H9" s="188"/>
      <c r="I9" s="156"/>
      <c r="J9" s="187"/>
      <c r="K9" s="189"/>
      <c r="L9" s="20"/>
      <c r="M9" s="20"/>
      <c r="N9" s="20"/>
    </row>
    <row r="10" spans="1:14">
      <c r="A10" s="185" t="s">
        <v>134</v>
      </c>
      <c r="B10" s="186"/>
      <c r="C10" s="186"/>
      <c r="D10" s="186"/>
      <c r="E10" s="187"/>
      <c r="F10" s="187"/>
      <c r="G10" s="187"/>
      <c r="H10" s="188"/>
      <c r="I10" s="156"/>
      <c r="J10" s="187"/>
      <c r="K10" s="189"/>
      <c r="L10" s="20"/>
      <c r="M10" s="20"/>
      <c r="N10" s="20"/>
    </row>
    <row r="11" spans="1:14">
      <c r="A11" s="185" t="s">
        <v>135</v>
      </c>
      <c r="B11" s="186"/>
      <c r="C11" s="186"/>
      <c r="D11" s="186"/>
      <c r="E11" s="187"/>
      <c r="F11" s="187"/>
      <c r="G11" s="187"/>
      <c r="H11" s="188"/>
      <c r="I11" s="156"/>
      <c r="J11" s="187"/>
      <c r="K11" s="189"/>
      <c r="L11" s="20"/>
      <c r="M11" s="20"/>
      <c r="N11" s="20"/>
    </row>
    <row r="12" spans="1:14">
      <c r="A12" s="21"/>
      <c r="B12" s="22"/>
      <c r="C12" s="22"/>
      <c r="D12" s="22"/>
      <c r="E12" s="20"/>
      <c r="F12" s="20"/>
      <c r="G12" s="20"/>
      <c r="H12" s="23"/>
      <c r="I12" s="24"/>
      <c r="J12" s="20"/>
      <c r="K12" s="20"/>
      <c r="L12" s="20"/>
      <c r="M12" s="20"/>
      <c r="N12" s="20"/>
    </row>
    <row r="13" spans="1:14">
      <c r="A13" s="21" t="s">
        <v>131</v>
      </c>
      <c r="B13" s="22"/>
      <c r="C13" s="22"/>
      <c r="D13" s="22"/>
      <c r="E13" s="20"/>
      <c r="F13" s="20"/>
      <c r="G13" s="20"/>
      <c r="H13" s="23"/>
      <c r="I13" s="24"/>
      <c r="J13" s="20"/>
      <c r="K13" s="20"/>
      <c r="L13" s="20"/>
      <c r="M13" s="20"/>
      <c r="N13" s="20"/>
    </row>
    <row r="14" spans="1:14">
      <c r="A14" s="113" t="s">
        <v>127</v>
      </c>
      <c r="B14" s="184">
        <f>SUM(C14:N14)</f>
        <v>4283000000</v>
      </c>
      <c r="C14" s="229">
        <v>1720394000</v>
      </c>
      <c r="D14" s="229"/>
      <c r="E14" s="229"/>
      <c r="F14" s="230">
        <v>1464090000</v>
      </c>
      <c r="G14" s="230"/>
      <c r="H14" s="230"/>
      <c r="I14" s="228">
        <v>798518000</v>
      </c>
      <c r="J14" s="228"/>
      <c r="K14" s="228"/>
      <c r="L14" s="228">
        <v>299998000</v>
      </c>
      <c r="M14" s="228"/>
      <c r="N14" s="228"/>
    </row>
    <row r="15" spans="1:14">
      <c r="A15" s="113" t="s">
        <v>128</v>
      </c>
      <c r="B15" s="133"/>
      <c r="C15" s="163">
        <f>C14/3</f>
        <v>573464666.66666663</v>
      </c>
      <c r="D15" s="164">
        <f>C14/3</f>
        <v>573464666.66666663</v>
      </c>
      <c r="E15" s="165">
        <f>C14/3</f>
        <v>573464666.66666663</v>
      </c>
      <c r="F15" s="163">
        <f>F14/3</f>
        <v>488030000</v>
      </c>
      <c r="G15" s="164">
        <f>F14/3</f>
        <v>488030000</v>
      </c>
      <c r="H15" s="165">
        <f>F14/3</f>
        <v>488030000</v>
      </c>
      <c r="I15" s="163">
        <f>I14/3</f>
        <v>266172666.66666666</v>
      </c>
      <c r="J15" s="164">
        <f>I14/3</f>
        <v>266172666.66666666</v>
      </c>
      <c r="K15" s="165">
        <f>I14/3</f>
        <v>266172666.66666666</v>
      </c>
      <c r="L15" s="163">
        <f>L14/3</f>
        <v>99999333.333333328</v>
      </c>
      <c r="M15" s="164">
        <f>L14/3</f>
        <v>99999333.333333328</v>
      </c>
      <c r="N15" s="165">
        <f>L14/3</f>
        <v>99999333.333333328</v>
      </c>
    </row>
    <row r="16" spans="1:14">
      <c r="A16" s="113" t="s">
        <v>129</v>
      </c>
      <c r="B16" s="133"/>
      <c r="C16" s="166">
        <f>C15</f>
        <v>573464666.66666663</v>
      </c>
      <c r="D16" s="166">
        <f>D15+C16</f>
        <v>1146929333.3333333</v>
      </c>
      <c r="E16" s="167">
        <f>E15+D16</f>
        <v>1720394000</v>
      </c>
      <c r="F16" s="166">
        <f t="shared" ref="F16:N16" si="1">F15+E16</f>
        <v>2208424000</v>
      </c>
      <c r="G16" s="166">
        <f t="shared" si="1"/>
        <v>2696454000</v>
      </c>
      <c r="H16" s="167">
        <f t="shared" si="1"/>
        <v>3184484000</v>
      </c>
      <c r="I16" s="166">
        <f t="shared" si="1"/>
        <v>3450656666.6666665</v>
      </c>
      <c r="J16" s="166">
        <f t="shared" si="1"/>
        <v>3716829333.333333</v>
      </c>
      <c r="K16" s="167">
        <f t="shared" si="1"/>
        <v>3983001999.9999995</v>
      </c>
      <c r="L16" s="166">
        <f t="shared" si="1"/>
        <v>4083001333.333333</v>
      </c>
      <c r="M16" s="166">
        <f t="shared" si="1"/>
        <v>4183000666.6666665</v>
      </c>
      <c r="N16" s="167">
        <f t="shared" si="1"/>
        <v>4283000000</v>
      </c>
    </row>
    <row r="17" spans="1:14">
      <c r="A17" s="113" t="s">
        <v>18</v>
      </c>
      <c r="B17" s="133"/>
      <c r="C17" s="133">
        <f>C16/B14*100</f>
        <v>13.389322126235504</v>
      </c>
      <c r="D17" s="133">
        <f>D16/B14*100</f>
        <v>26.778644252471008</v>
      </c>
      <c r="E17" s="168">
        <f>E16/B14*100</f>
        <v>40.167966378706517</v>
      </c>
      <c r="F17" s="168">
        <f>F16/B14*100</f>
        <v>51.562549614756016</v>
      </c>
      <c r="G17" s="168">
        <f>G16/B14*100</f>
        <v>62.957132850805507</v>
      </c>
      <c r="H17" s="169">
        <f>H16/B14*100</f>
        <v>74.351716086855006</v>
      </c>
      <c r="I17" s="170">
        <f>I16/B14*100</f>
        <v>80.566347575686819</v>
      </c>
      <c r="J17" s="168">
        <f>J16/B14*100</f>
        <v>86.780979064518633</v>
      </c>
      <c r="K17" s="167">
        <f>K16/B14*100</f>
        <v>92.995610553350446</v>
      </c>
      <c r="L17" s="170">
        <f>L16/B14*100</f>
        <v>95.330407035566964</v>
      </c>
      <c r="M17" s="168">
        <f>M16/B14*100</f>
        <v>97.665203517783482</v>
      </c>
      <c r="N17" s="167">
        <f>N16/B14*100</f>
        <v>100</v>
      </c>
    </row>
  </sheetData>
  <mergeCells count="7">
    <mergeCell ref="L14:N14"/>
    <mergeCell ref="C5:E5"/>
    <mergeCell ref="F5:H5"/>
    <mergeCell ref="I5:K5"/>
    <mergeCell ref="C14:E14"/>
    <mergeCell ref="F14:H14"/>
    <mergeCell ref="I14:K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117"/>
  <sheetViews>
    <sheetView tabSelected="1" workbookViewId="0">
      <selection activeCell="W10" sqref="W10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31"/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32" t="s">
        <v>106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</row>
    <row r="4" spans="1:22" ht="12" customHeight="1">
      <c r="A4" s="232" t="s">
        <v>107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33" t="s">
        <v>105</v>
      </c>
      <c r="B6" s="234" t="s">
        <v>111</v>
      </c>
      <c r="C6" s="234"/>
      <c r="D6" s="234"/>
      <c r="E6" s="234"/>
      <c r="F6" s="234"/>
      <c r="G6" s="234"/>
      <c r="H6" s="234"/>
      <c r="I6" s="235" t="s">
        <v>30</v>
      </c>
      <c r="J6" s="236" t="s">
        <v>31</v>
      </c>
      <c r="K6" s="236" t="s">
        <v>138</v>
      </c>
      <c r="L6" s="236"/>
      <c r="M6" s="236"/>
      <c r="N6" s="236"/>
      <c r="O6" s="236"/>
      <c r="P6" s="237" t="s">
        <v>32</v>
      </c>
      <c r="Q6" s="237"/>
      <c r="R6" s="235" t="s">
        <v>33</v>
      </c>
      <c r="S6" s="235" t="s">
        <v>18</v>
      </c>
      <c r="T6" s="235" t="s">
        <v>114</v>
      </c>
      <c r="U6" s="235" t="s">
        <v>115</v>
      </c>
    </row>
    <row r="7" spans="1:22" ht="21.75" customHeight="1">
      <c r="A7" s="233"/>
      <c r="B7" s="234"/>
      <c r="C7" s="234"/>
      <c r="D7" s="234"/>
      <c r="E7" s="234"/>
      <c r="F7" s="234"/>
      <c r="G7" s="234"/>
      <c r="H7" s="234"/>
      <c r="I7" s="235"/>
      <c r="J7" s="236"/>
      <c r="K7" s="237" t="s">
        <v>108</v>
      </c>
      <c r="L7" s="237"/>
      <c r="M7" s="237" t="s">
        <v>34</v>
      </c>
      <c r="N7" s="237"/>
      <c r="O7" s="237"/>
      <c r="P7" s="237"/>
      <c r="Q7" s="237"/>
      <c r="R7" s="235"/>
      <c r="S7" s="235"/>
      <c r="T7" s="235"/>
      <c r="U7" s="235"/>
    </row>
    <row r="8" spans="1:22" ht="23.25" customHeight="1">
      <c r="A8" s="233"/>
      <c r="B8" s="234"/>
      <c r="C8" s="234"/>
      <c r="D8" s="234"/>
      <c r="E8" s="234"/>
      <c r="F8" s="234"/>
      <c r="G8" s="234"/>
      <c r="H8" s="234"/>
      <c r="I8" s="235"/>
      <c r="J8" s="236"/>
      <c r="K8" s="194" t="s">
        <v>35</v>
      </c>
      <c r="L8" s="194" t="s">
        <v>109</v>
      </c>
      <c r="M8" s="194" t="s">
        <v>110</v>
      </c>
      <c r="N8" s="194" t="s">
        <v>35</v>
      </c>
      <c r="O8" s="194" t="s">
        <v>20</v>
      </c>
      <c r="P8" s="237"/>
      <c r="Q8" s="237"/>
      <c r="R8" s="235"/>
      <c r="S8" s="235"/>
      <c r="T8" s="235"/>
      <c r="U8" s="235"/>
    </row>
    <row r="9" spans="1:22" s="16" customFormat="1" ht="18.75" customHeight="1">
      <c r="A9" s="73">
        <v>1</v>
      </c>
      <c r="B9" s="244">
        <v>2</v>
      </c>
      <c r="C9" s="244"/>
      <c r="D9" s="244"/>
      <c r="E9" s="244"/>
      <c r="F9" s="244"/>
      <c r="G9" s="244"/>
      <c r="H9" s="244"/>
      <c r="I9" s="195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136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93"/>
      <c r="B10" s="238"/>
      <c r="C10" s="239"/>
      <c r="D10" s="239"/>
      <c r="E10" s="239"/>
      <c r="F10" s="239"/>
      <c r="G10" s="239"/>
      <c r="H10" s="240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93"/>
      <c r="B11" s="241" t="s">
        <v>117</v>
      </c>
      <c r="C11" s="242"/>
      <c r="D11" s="242"/>
      <c r="E11" s="242"/>
      <c r="F11" s="242"/>
      <c r="G11" s="242"/>
      <c r="H11" s="243"/>
      <c r="I11" s="162">
        <f>I13+I15</f>
        <v>8355064016</v>
      </c>
      <c r="J11" s="86" t="s">
        <v>37</v>
      </c>
      <c r="K11" s="171">
        <f>AVERAGE(K13:K15)</f>
        <v>88.073199440393154</v>
      </c>
      <c r="L11" s="171">
        <f>K11</f>
        <v>88.073199440393154</v>
      </c>
      <c r="M11" s="172">
        <f>M13+M15</f>
        <v>5074213020</v>
      </c>
      <c r="N11" s="171">
        <f>M11/I11*100</f>
        <v>60.73218601656253</v>
      </c>
      <c r="O11" s="171">
        <f>M11/I11*100</f>
        <v>60.73218601656253</v>
      </c>
      <c r="P11" s="171">
        <f>O11-L11</f>
        <v>-27.341013423830624</v>
      </c>
      <c r="Q11" s="171">
        <f>N11-K11</f>
        <v>-27.341013423830624</v>
      </c>
      <c r="R11" s="77">
        <f>I11-M11</f>
        <v>3280850996</v>
      </c>
      <c r="S11" s="171">
        <f>R11/I11*100</f>
        <v>39.267813983437463</v>
      </c>
      <c r="T11" s="66"/>
      <c r="U11" s="66"/>
      <c r="V11" s="65"/>
    </row>
    <row r="12" spans="1:22" s="16" customFormat="1" ht="15.75" customHeight="1">
      <c r="A12" s="193"/>
      <c r="B12" s="238"/>
      <c r="C12" s="239"/>
      <c r="D12" s="239"/>
      <c r="E12" s="239"/>
      <c r="F12" s="239"/>
      <c r="G12" s="239"/>
      <c r="H12" s="240"/>
      <c r="I12" s="67"/>
      <c r="J12" s="68"/>
      <c r="K12" s="176"/>
      <c r="L12" s="171"/>
      <c r="M12" s="173"/>
      <c r="N12" s="173"/>
      <c r="O12" s="173"/>
      <c r="P12" s="173"/>
      <c r="Q12" s="173"/>
      <c r="R12" s="77"/>
      <c r="S12" s="182"/>
      <c r="T12" s="66"/>
      <c r="U12" s="66"/>
      <c r="V12" s="65"/>
    </row>
    <row r="13" spans="1:22" s="16" customFormat="1" ht="15.75" customHeight="1">
      <c r="A13" s="193"/>
      <c r="B13" s="241" t="s">
        <v>118</v>
      </c>
      <c r="C13" s="242"/>
      <c r="D13" s="242"/>
      <c r="E13" s="242"/>
      <c r="F13" s="242"/>
      <c r="G13" s="242"/>
      <c r="H13" s="243"/>
      <c r="I13" s="160">
        <v>4072064016</v>
      </c>
      <c r="J13" s="86" t="s">
        <v>37</v>
      </c>
      <c r="K13" s="171">
        <v>84.254874248519201</v>
      </c>
      <c r="L13" s="171">
        <f>K13</f>
        <v>84.254874248519201</v>
      </c>
      <c r="M13" s="174">
        <v>2573676849</v>
      </c>
      <c r="N13" s="171">
        <f>M13/I13*100</f>
        <v>63.203251198593144</v>
      </c>
      <c r="O13" s="171">
        <f>M13/I13*100</f>
        <v>63.203251198593144</v>
      </c>
      <c r="P13" s="171">
        <f>O13-L13</f>
        <v>-21.051623049926057</v>
      </c>
      <c r="Q13" s="171">
        <f>N13-K13</f>
        <v>-21.051623049926057</v>
      </c>
      <c r="R13" s="77">
        <f>I13-M13</f>
        <v>1498387167</v>
      </c>
      <c r="S13" s="171">
        <f>R13/I13*100</f>
        <v>36.796748801406856</v>
      </c>
      <c r="T13" s="66"/>
      <c r="U13" s="66"/>
      <c r="V13" s="65"/>
    </row>
    <row r="14" spans="1:22" s="16" customFormat="1" ht="15.75" customHeight="1">
      <c r="A14" s="193"/>
      <c r="B14" s="241"/>
      <c r="C14" s="242"/>
      <c r="D14" s="242"/>
      <c r="E14" s="242"/>
      <c r="F14" s="242"/>
      <c r="G14" s="242"/>
      <c r="H14" s="243"/>
      <c r="I14" s="67"/>
      <c r="J14" s="68"/>
      <c r="K14" s="176"/>
      <c r="L14" s="173"/>
      <c r="M14" s="173"/>
      <c r="N14" s="173"/>
      <c r="O14" s="173"/>
      <c r="P14" s="173"/>
      <c r="Q14" s="173"/>
      <c r="R14" s="77"/>
      <c r="S14" s="72"/>
      <c r="T14" s="66"/>
      <c r="U14" s="66"/>
      <c r="V14" s="65"/>
    </row>
    <row r="15" spans="1:22" s="16" customFormat="1" ht="15.75" customHeight="1">
      <c r="A15" s="193"/>
      <c r="B15" s="241" t="s">
        <v>119</v>
      </c>
      <c r="C15" s="242"/>
      <c r="D15" s="242"/>
      <c r="E15" s="242"/>
      <c r="F15" s="242"/>
      <c r="G15" s="242"/>
      <c r="H15" s="243"/>
      <c r="I15" s="161">
        <f>I99</f>
        <v>4283000000</v>
      </c>
      <c r="J15" s="86" t="s">
        <v>37</v>
      </c>
      <c r="K15" s="177">
        <f>3935714000/I15*100</f>
        <v>91.891524632267107</v>
      </c>
      <c r="L15" s="175">
        <f>K15</f>
        <v>91.891524632267107</v>
      </c>
      <c r="M15" s="198">
        <f>M17+M33+M39+M49+M61+M73+M89</f>
        <v>2500536171</v>
      </c>
      <c r="N15" s="171">
        <f>M15/I15*100</f>
        <v>58.382819775858039</v>
      </c>
      <c r="O15" s="171">
        <f>M15/I15*100</f>
        <v>58.382819775858039</v>
      </c>
      <c r="P15" s="171">
        <f>O15-L15</f>
        <v>-33.508704856409068</v>
      </c>
      <c r="Q15" s="171">
        <f>N15-K15</f>
        <v>-33.508704856409068</v>
      </c>
      <c r="R15" s="77">
        <f>I15-M15</f>
        <v>1782463829</v>
      </c>
      <c r="S15" s="171">
        <f>R15/I15*100</f>
        <v>41.617180224141961</v>
      </c>
      <c r="T15" s="66"/>
      <c r="U15" s="66"/>
      <c r="V15" s="156"/>
    </row>
    <row r="16" spans="1:22" s="17" customFormat="1" ht="11.25" customHeight="1">
      <c r="A16" s="78"/>
      <c r="B16" s="238"/>
      <c r="C16" s="239"/>
      <c r="D16" s="239"/>
      <c r="E16" s="239"/>
      <c r="F16" s="239"/>
      <c r="G16" s="239"/>
      <c r="H16" s="240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54" t="s">
        <v>36</v>
      </c>
      <c r="C17" s="255"/>
      <c r="D17" s="255"/>
      <c r="E17" s="255"/>
      <c r="F17" s="255"/>
      <c r="G17" s="255"/>
      <c r="H17" s="256"/>
      <c r="I17" s="85">
        <f>SUM(I19:I32)</f>
        <v>1028000000</v>
      </c>
      <c r="J17" s="86" t="s">
        <v>37</v>
      </c>
      <c r="K17" s="177">
        <f>919268000/I17*100</f>
        <v>89.422957198443569</v>
      </c>
      <c r="L17" s="177">
        <f>K17</f>
        <v>89.422957198443569</v>
      </c>
      <c r="M17" s="146">
        <f>SUM(M19:M32)</f>
        <v>734791671</v>
      </c>
      <c r="N17" s="87">
        <f>M17/I17*100</f>
        <v>71.477789007782093</v>
      </c>
      <c r="O17" s="87">
        <f>M17/I17*100</f>
        <v>71.477789007782093</v>
      </c>
      <c r="P17" s="171">
        <f>O17-L17</f>
        <v>-17.945168190661477</v>
      </c>
      <c r="Q17" s="171">
        <f>N17-K17</f>
        <v>-17.945168190661477</v>
      </c>
      <c r="R17" s="77">
        <f>I17-M17</f>
        <v>293208329</v>
      </c>
      <c r="S17" s="171">
        <f>R17/I17*100</f>
        <v>28.5222109922179</v>
      </c>
      <c r="T17" s="89"/>
      <c r="U17" s="90"/>
      <c r="V17" s="30"/>
      <c r="W17" s="199"/>
    </row>
    <row r="18" spans="1:23" s="17" customFormat="1" ht="12" customHeight="1">
      <c r="A18" s="141"/>
      <c r="B18" s="257"/>
      <c r="C18" s="258"/>
      <c r="D18" s="258"/>
      <c r="E18" s="258"/>
      <c r="F18" s="258"/>
      <c r="G18" s="258"/>
      <c r="H18" s="259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60" t="s">
        <v>38</v>
      </c>
      <c r="C19" s="261"/>
      <c r="D19" s="261"/>
      <c r="E19" s="261"/>
      <c r="F19" s="261"/>
      <c r="G19" s="261"/>
      <c r="H19" s="262"/>
      <c r="I19" s="87">
        <v>227000000</v>
      </c>
      <c r="J19" s="86" t="s">
        <v>37</v>
      </c>
      <c r="K19" s="87">
        <f>189160000/I19*100</f>
        <v>83.330396475770925</v>
      </c>
      <c r="L19" s="178">
        <f>K19</f>
        <v>83.330396475770925</v>
      </c>
      <c r="M19" s="152">
        <v>135769545</v>
      </c>
      <c r="N19" s="87">
        <f>M19/I19*100</f>
        <v>59.810372246696033</v>
      </c>
      <c r="O19" s="87">
        <f>M19/I19*100</f>
        <v>59.810372246696033</v>
      </c>
      <c r="P19" s="171">
        <f>O19-L19</f>
        <v>-23.520024229074892</v>
      </c>
      <c r="Q19" s="171">
        <f>N19-K19</f>
        <v>-23.520024229074892</v>
      </c>
      <c r="R19" s="77">
        <f>I19-M19</f>
        <v>91230455</v>
      </c>
      <c r="S19" s="171">
        <f>R19/I19*100</f>
        <v>40.189627753303967</v>
      </c>
      <c r="T19" s="83"/>
      <c r="U19" s="97"/>
      <c r="V19" s="30"/>
    </row>
    <row r="20" spans="1:23" ht="12" customHeight="1">
      <c r="A20" s="143"/>
      <c r="B20" s="245"/>
      <c r="C20" s="246"/>
      <c r="D20" s="246"/>
      <c r="E20" s="246"/>
      <c r="F20" s="246"/>
      <c r="G20" s="246"/>
      <c r="H20" s="247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48" t="s">
        <v>39</v>
      </c>
      <c r="C21" s="249"/>
      <c r="D21" s="249"/>
      <c r="E21" s="249"/>
      <c r="F21" s="249"/>
      <c r="G21" s="249"/>
      <c r="H21" s="250"/>
      <c r="I21" s="104">
        <v>206000000</v>
      </c>
      <c r="J21" s="81" t="s">
        <v>37</v>
      </c>
      <c r="K21" s="87">
        <f>204000000/I21*100</f>
        <v>99.029126213592235</v>
      </c>
      <c r="L21" s="179">
        <f>K21</f>
        <v>99.029126213592235</v>
      </c>
      <c r="M21" s="149">
        <v>192675600</v>
      </c>
      <c r="N21" s="87">
        <f>M21/I21*100</f>
        <v>93.531844660194167</v>
      </c>
      <c r="O21" s="87">
        <f>M21/I21*100</f>
        <v>93.531844660194167</v>
      </c>
      <c r="P21" s="171">
        <f>O21-L21</f>
        <v>-5.4972815533980679</v>
      </c>
      <c r="Q21" s="171">
        <f>N21-K21</f>
        <v>-5.4972815533980679</v>
      </c>
      <c r="R21" s="155">
        <f>I21-M21</f>
        <v>13324400</v>
      </c>
      <c r="S21" s="171">
        <f>R21/I21*100</f>
        <v>6.4681553398058256</v>
      </c>
      <c r="T21" s="83"/>
      <c r="U21" s="97"/>
      <c r="V21" s="31"/>
    </row>
    <row r="22" spans="1:23" ht="12" customHeight="1">
      <c r="A22" s="142"/>
      <c r="B22" s="245"/>
      <c r="C22" s="246"/>
      <c r="D22" s="246"/>
      <c r="E22" s="246"/>
      <c r="F22" s="246"/>
      <c r="G22" s="246"/>
      <c r="H22" s="247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48" t="s">
        <v>40</v>
      </c>
      <c r="C23" s="249"/>
      <c r="D23" s="249"/>
      <c r="E23" s="249"/>
      <c r="F23" s="249"/>
      <c r="G23" s="249"/>
      <c r="H23" s="250"/>
      <c r="I23" s="104">
        <v>320000000</v>
      </c>
      <c r="J23" s="81" t="s">
        <v>37</v>
      </c>
      <c r="K23" s="87">
        <f>254460000/I23*100</f>
        <v>79.518750000000011</v>
      </c>
      <c r="L23" s="179">
        <f>K23</f>
        <v>79.518750000000011</v>
      </c>
      <c r="M23" s="149">
        <v>213314500</v>
      </c>
      <c r="N23" s="87">
        <f>M23/I23*100</f>
        <v>66.660781249999999</v>
      </c>
      <c r="O23" s="87">
        <f>M23/I23*100</f>
        <v>66.660781249999999</v>
      </c>
      <c r="P23" s="171">
        <f>O23-L23</f>
        <v>-12.857968750000012</v>
      </c>
      <c r="Q23" s="171">
        <f>N23-K23</f>
        <v>-12.857968750000012</v>
      </c>
      <c r="R23" s="155">
        <f>I23-M23</f>
        <v>106685500</v>
      </c>
      <c r="S23" s="171">
        <f>R23/I23*100</f>
        <v>33.339218750000001</v>
      </c>
      <c r="T23" s="83"/>
      <c r="U23" s="97"/>
      <c r="V23" s="30"/>
    </row>
    <row r="24" spans="1:23" ht="12" customHeight="1">
      <c r="A24" s="143"/>
      <c r="B24" s="245"/>
      <c r="C24" s="246"/>
      <c r="D24" s="246"/>
      <c r="E24" s="246"/>
      <c r="F24" s="246"/>
      <c r="G24" s="246"/>
      <c r="H24" s="247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51" t="s">
        <v>41</v>
      </c>
      <c r="C25" s="252"/>
      <c r="D25" s="252"/>
      <c r="E25" s="252"/>
      <c r="F25" s="252"/>
      <c r="G25" s="252"/>
      <c r="H25" s="253"/>
      <c r="I25" s="104">
        <v>30000000</v>
      </c>
      <c r="J25" s="81" t="s">
        <v>37</v>
      </c>
      <c r="K25" s="180">
        <f>30000000/I25*100</f>
        <v>100</v>
      </c>
      <c r="L25" s="148">
        <f>K25</f>
        <v>100</v>
      </c>
      <c r="M25" s="149">
        <v>6250000</v>
      </c>
      <c r="N25" s="87">
        <f>M25/I25*100</f>
        <v>20.833333333333336</v>
      </c>
      <c r="O25" s="87">
        <f>M25/I25*100</f>
        <v>20.833333333333336</v>
      </c>
      <c r="P25" s="171">
        <f>O25-L25</f>
        <v>-79.166666666666657</v>
      </c>
      <c r="Q25" s="171">
        <f>N25-K25</f>
        <v>-79.166666666666657</v>
      </c>
      <c r="R25" s="77">
        <f>I25-M25</f>
        <v>23750000</v>
      </c>
      <c r="S25" s="171">
        <f>R25/I25*100</f>
        <v>79.166666666666657</v>
      </c>
      <c r="T25" s="83"/>
      <c r="U25" s="97"/>
      <c r="V25" s="30"/>
    </row>
    <row r="26" spans="1:23" ht="12" customHeight="1">
      <c r="A26" s="143"/>
      <c r="B26" s="245"/>
      <c r="C26" s="246"/>
      <c r="D26" s="246"/>
      <c r="E26" s="246"/>
      <c r="F26" s="246"/>
      <c r="G26" s="246"/>
      <c r="H26" s="247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48" t="s">
        <v>42</v>
      </c>
      <c r="C27" s="249"/>
      <c r="D27" s="249"/>
      <c r="E27" s="249"/>
      <c r="F27" s="249"/>
      <c r="G27" s="249"/>
      <c r="H27" s="250"/>
      <c r="I27" s="104">
        <v>30000000</v>
      </c>
      <c r="J27" s="81" t="s">
        <v>37</v>
      </c>
      <c r="K27" s="180">
        <f>30000000/I27*100</f>
        <v>100</v>
      </c>
      <c r="L27" s="148">
        <f>K27</f>
        <v>100</v>
      </c>
      <c r="M27" s="149">
        <v>8750000</v>
      </c>
      <c r="N27" s="87">
        <f>M27/I27*100</f>
        <v>29.166666666666668</v>
      </c>
      <c r="O27" s="87">
        <f>M27/I27*100</f>
        <v>29.166666666666668</v>
      </c>
      <c r="P27" s="171">
        <f>O27-L27</f>
        <v>-70.833333333333329</v>
      </c>
      <c r="Q27" s="171">
        <f>N27-K27</f>
        <v>-70.833333333333329</v>
      </c>
      <c r="R27" s="155">
        <f>I27-M27</f>
        <v>21250000</v>
      </c>
      <c r="S27" s="30">
        <f>R27/I27*100</f>
        <v>70.833333333333343</v>
      </c>
      <c r="T27" s="83"/>
      <c r="U27" s="106"/>
      <c r="V27" s="30"/>
    </row>
    <row r="28" spans="1:23" ht="13.5" customHeight="1">
      <c r="A28" s="142"/>
      <c r="B28" s="245"/>
      <c r="C28" s="246"/>
      <c r="D28" s="246"/>
      <c r="E28" s="246"/>
      <c r="F28" s="246"/>
      <c r="G28" s="246"/>
      <c r="H28" s="247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48" t="s">
        <v>43</v>
      </c>
      <c r="C29" s="249"/>
      <c r="D29" s="249"/>
      <c r="E29" s="249"/>
      <c r="F29" s="249"/>
      <c r="G29" s="249"/>
      <c r="H29" s="250"/>
      <c r="I29" s="104">
        <v>25000000</v>
      </c>
      <c r="J29" s="81" t="s">
        <v>37</v>
      </c>
      <c r="K29" s="87">
        <f>21648000/I29*100</f>
        <v>86.591999999999999</v>
      </c>
      <c r="L29" s="179">
        <f>K29</f>
        <v>86.591999999999999</v>
      </c>
      <c r="M29" s="149">
        <v>14878000</v>
      </c>
      <c r="N29" s="87">
        <f>M29/I29*100</f>
        <v>59.512</v>
      </c>
      <c r="O29" s="87">
        <f>M29/I29*100</f>
        <v>59.512</v>
      </c>
      <c r="P29" s="171">
        <f>O29-L29</f>
        <v>-27.08</v>
      </c>
      <c r="Q29" s="171">
        <f>N29-K29</f>
        <v>-27.08</v>
      </c>
      <c r="R29" s="155">
        <f>I29-M29</f>
        <v>10122000</v>
      </c>
      <c r="S29" s="30">
        <f>R29/I29*100</f>
        <v>40.488</v>
      </c>
      <c r="T29" s="83"/>
      <c r="U29" s="97"/>
    </row>
    <row r="30" spans="1:23" ht="12" customHeight="1">
      <c r="A30" s="143"/>
      <c r="B30" s="245"/>
      <c r="C30" s="246"/>
      <c r="D30" s="246"/>
      <c r="E30" s="246"/>
      <c r="F30" s="246"/>
      <c r="G30" s="246"/>
      <c r="H30" s="247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48" t="s">
        <v>44</v>
      </c>
      <c r="C31" s="249"/>
      <c r="D31" s="249"/>
      <c r="E31" s="249"/>
      <c r="F31" s="249"/>
      <c r="G31" s="249"/>
      <c r="H31" s="250"/>
      <c r="I31" s="104">
        <v>190000000</v>
      </c>
      <c r="J31" s="81" t="s">
        <v>37</v>
      </c>
      <c r="K31" s="180">
        <f>190000000/I31*100</f>
        <v>100</v>
      </c>
      <c r="L31" s="148">
        <f>K31</f>
        <v>100</v>
      </c>
      <c r="M31" s="149">
        <v>163154026</v>
      </c>
      <c r="N31" s="87">
        <f>M31/I31*100</f>
        <v>85.870539999999991</v>
      </c>
      <c r="O31" s="87">
        <f>M31/I31*100</f>
        <v>85.870539999999991</v>
      </c>
      <c r="P31" s="171">
        <f>O31-L31</f>
        <v>-14.129460000000009</v>
      </c>
      <c r="Q31" s="171">
        <f>N31-K31</f>
        <v>-14.129460000000009</v>
      </c>
      <c r="R31" s="155">
        <f>I31-M31</f>
        <v>26845974</v>
      </c>
      <c r="S31" s="30">
        <f>R31/I31*100</f>
        <v>14.12946</v>
      </c>
      <c r="T31" s="83"/>
      <c r="U31" s="84"/>
    </row>
    <row r="32" spans="1:23" ht="12" customHeight="1">
      <c r="A32" s="140"/>
      <c r="B32" s="245"/>
      <c r="C32" s="246"/>
      <c r="D32" s="246"/>
      <c r="E32" s="246"/>
      <c r="F32" s="246"/>
      <c r="G32" s="246"/>
      <c r="H32" s="247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63" t="s">
        <v>45</v>
      </c>
      <c r="C33" s="264"/>
      <c r="D33" s="264"/>
      <c r="E33" s="264"/>
      <c r="F33" s="264"/>
      <c r="G33" s="264"/>
      <c r="H33" s="265"/>
      <c r="I33" s="85">
        <f>SUM(I35:I37)</f>
        <v>25000000</v>
      </c>
      <c r="J33" s="81" t="s">
        <v>37</v>
      </c>
      <c r="K33" s="180">
        <f>25000000/I33*100</f>
        <v>100</v>
      </c>
      <c r="L33" s="146">
        <f>K33</f>
        <v>100</v>
      </c>
      <c r="M33" s="146">
        <f>SUM(M35:M37)</f>
        <v>21400000</v>
      </c>
      <c r="N33" s="87">
        <f>M33/I33*100</f>
        <v>85.6</v>
      </c>
      <c r="O33" s="87">
        <f>M33/I33*100</f>
        <v>85.6</v>
      </c>
      <c r="P33" s="171">
        <f>O33-L33</f>
        <v>-14.400000000000006</v>
      </c>
      <c r="Q33" s="171">
        <f>N33-K33</f>
        <v>-14.400000000000006</v>
      </c>
      <c r="R33" s="155">
        <f>I33-M33</f>
        <v>3600000</v>
      </c>
      <c r="S33" s="30">
        <f>R33/I33*100</f>
        <v>14.399999999999999</v>
      </c>
      <c r="T33" s="85"/>
      <c r="U33" s="90"/>
      <c r="V33" s="29"/>
    </row>
    <row r="34" spans="1:32" s="17" customFormat="1" ht="12.75" customHeight="1">
      <c r="A34" s="141"/>
      <c r="B34" s="257"/>
      <c r="C34" s="258"/>
      <c r="D34" s="258"/>
      <c r="E34" s="258"/>
      <c r="F34" s="258"/>
      <c r="G34" s="258"/>
      <c r="H34" s="259"/>
      <c r="I34" s="85"/>
      <c r="J34" s="109"/>
      <c r="K34" s="190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60" t="s">
        <v>46</v>
      </c>
      <c r="C35" s="261"/>
      <c r="D35" s="261"/>
      <c r="E35" s="261"/>
      <c r="F35" s="261"/>
      <c r="G35" s="261"/>
      <c r="H35" s="262"/>
      <c r="I35" s="87">
        <v>22000000</v>
      </c>
      <c r="J35" s="81" t="s">
        <v>37</v>
      </c>
      <c r="K35" s="180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71">
        <f>O35-L35</f>
        <v>-9.0909090909090935</v>
      </c>
      <c r="Q35" s="171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45"/>
      <c r="C36" s="246"/>
      <c r="D36" s="246"/>
      <c r="E36" s="246"/>
      <c r="F36" s="246"/>
      <c r="G36" s="246"/>
      <c r="H36" s="247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48" t="s">
        <v>47</v>
      </c>
      <c r="C37" s="249"/>
      <c r="D37" s="249"/>
      <c r="E37" s="249"/>
      <c r="F37" s="249"/>
      <c r="G37" s="249"/>
      <c r="H37" s="250"/>
      <c r="I37" s="104">
        <v>3000000</v>
      </c>
      <c r="J37" s="81" t="s">
        <v>37</v>
      </c>
      <c r="K37" s="180">
        <f>3000000/I37*100</f>
        <v>100</v>
      </c>
      <c r="L37" s="148">
        <f>K37</f>
        <v>100</v>
      </c>
      <c r="M37" s="149">
        <v>1400000</v>
      </c>
      <c r="N37" s="87">
        <f>M37/I37*100</f>
        <v>46.666666666666664</v>
      </c>
      <c r="O37" s="87">
        <f>M37/I37*100</f>
        <v>46.666666666666664</v>
      </c>
      <c r="P37" s="171">
        <f>O37-L37</f>
        <v>-53.333333333333336</v>
      </c>
      <c r="Q37" s="171">
        <f>N37-K37</f>
        <v>-53.333333333333336</v>
      </c>
      <c r="R37" s="155">
        <f>I37-M37</f>
        <v>1600000</v>
      </c>
      <c r="S37" s="30">
        <f>R37/I37*100</f>
        <v>53.333333333333336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57"/>
      <c r="C38" s="258"/>
      <c r="D38" s="258"/>
      <c r="E38" s="258"/>
      <c r="F38" s="258"/>
      <c r="G38" s="258"/>
      <c r="H38" s="259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54" t="s">
        <v>48</v>
      </c>
      <c r="C39" s="255"/>
      <c r="D39" s="255"/>
      <c r="E39" s="255"/>
      <c r="F39" s="255"/>
      <c r="G39" s="255"/>
      <c r="H39" s="256"/>
      <c r="I39" s="85">
        <f>SUM(I41:I47)</f>
        <v>300000000</v>
      </c>
      <c r="J39" s="81" t="s">
        <v>37</v>
      </c>
      <c r="K39" s="192">
        <f>255600000/I39*100</f>
        <v>85.2</v>
      </c>
      <c r="L39" s="177">
        <f>K39</f>
        <v>85.2</v>
      </c>
      <c r="M39" s="146">
        <f>SUM(M41:M47)</f>
        <v>45559000</v>
      </c>
      <c r="N39" s="87">
        <f>M39/I39*100</f>
        <v>15.186333333333332</v>
      </c>
      <c r="O39" s="87">
        <f>M39/I39*100</f>
        <v>15.186333333333332</v>
      </c>
      <c r="P39" s="171">
        <f>O39-L39</f>
        <v>-70.013666666666666</v>
      </c>
      <c r="Q39" s="171">
        <f>N39-K39</f>
        <v>-70.013666666666666</v>
      </c>
      <c r="R39" s="155">
        <f>I39-M39</f>
        <v>254441000</v>
      </c>
      <c r="S39" s="30">
        <f>R39/I39*100</f>
        <v>84.813666666666663</v>
      </c>
      <c r="T39" s="85"/>
      <c r="U39" s="90"/>
      <c r="V39" s="34"/>
    </row>
    <row r="40" spans="1:32" ht="12" customHeight="1">
      <c r="A40" s="144"/>
      <c r="B40" s="245"/>
      <c r="C40" s="246"/>
      <c r="D40" s="246"/>
      <c r="E40" s="246"/>
      <c r="F40" s="246"/>
      <c r="G40" s="246"/>
      <c r="H40" s="247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48" t="s">
        <v>49</v>
      </c>
      <c r="C41" s="249"/>
      <c r="D41" s="249"/>
      <c r="E41" s="249"/>
      <c r="F41" s="249"/>
      <c r="G41" s="249"/>
      <c r="H41" s="250"/>
      <c r="I41" s="104">
        <v>100000000</v>
      </c>
      <c r="J41" s="81" t="s">
        <v>37</v>
      </c>
      <c r="K41" s="87">
        <f>95774000/I41*100</f>
        <v>95.774000000000001</v>
      </c>
      <c r="L41" s="179">
        <f>K41</f>
        <v>95.774000000000001</v>
      </c>
      <c r="M41" s="149">
        <v>0</v>
      </c>
      <c r="N41" s="87">
        <f>M41/I41*100</f>
        <v>0</v>
      </c>
      <c r="O41" s="87">
        <f>M41/I41*100</f>
        <v>0</v>
      </c>
      <c r="P41" s="171">
        <f>O41-L41</f>
        <v>-95.774000000000001</v>
      </c>
      <c r="Q41" s="171">
        <f>N41-K41</f>
        <v>-95.774000000000001</v>
      </c>
      <c r="R41" s="155">
        <f>I41-M41</f>
        <v>100000000</v>
      </c>
      <c r="S41" s="30">
        <f>R41/I41*100</f>
        <v>100</v>
      </c>
      <c r="T41" s="116"/>
      <c r="U41" s="117"/>
      <c r="V41" s="35"/>
    </row>
    <row r="42" spans="1:32" ht="12" customHeight="1">
      <c r="A42" s="144"/>
      <c r="B42" s="245"/>
      <c r="C42" s="246"/>
      <c r="D42" s="246"/>
      <c r="E42" s="246"/>
      <c r="F42" s="246"/>
      <c r="G42" s="246"/>
      <c r="H42" s="247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48" t="s">
        <v>50</v>
      </c>
      <c r="C43" s="249"/>
      <c r="D43" s="249"/>
      <c r="E43" s="249"/>
      <c r="F43" s="249"/>
      <c r="G43" s="249"/>
      <c r="H43" s="250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0</v>
      </c>
      <c r="N43" s="87">
        <f>M43/I43*100</f>
        <v>0</v>
      </c>
      <c r="O43" s="87">
        <f>M43/I43*100</f>
        <v>0</v>
      </c>
      <c r="P43" s="171">
        <f>O43-L43</f>
        <v>-100</v>
      </c>
      <c r="Q43" s="171">
        <f>N43-K43</f>
        <v>-100</v>
      </c>
      <c r="R43" s="155">
        <f>I43-M43</f>
        <v>80000000</v>
      </c>
      <c r="S43" s="30">
        <f>R43/I43*100</f>
        <v>100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45"/>
      <c r="C44" s="246"/>
      <c r="D44" s="246"/>
      <c r="E44" s="246"/>
      <c r="F44" s="246"/>
      <c r="G44" s="246"/>
      <c r="H44" s="247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48" t="s">
        <v>51</v>
      </c>
      <c r="C45" s="249"/>
      <c r="D45" s="249"/>
      <c r="E45" s="249"/>
      <c r="F45" s="249"/>
      <c r="G45" s="249"/>
      <c r="H45" s="250"/>
      <c r="I45" s="104">
        <v>40000000</v>
      </c>
      <c r="J45" s="81" t="s">
        <v>37</v>
      </c>
      <c r="K45" s="87">
        <f>19226000/I45*100</f>
        <v>48.065000000000005</v>
      </c>
      <c r="L45" s="179">
        <f>K45</f>
        <v>48.065000000000005</v>
      </c>
      <c r="M45" s="149">
        <v>9613000</v>
      </c>
      <c r="N45" s="87">
        <f>M45/I45*100</f>
        <v>24.032500000000002</v>
      </c>
      <c r="O45" s="87">
        <f>M45/I45*100</f>
        <v>24.032500000000002</v>
      </c>
      <c r="P45" s="171">
        <f>O45-L45</f>
        <v>-24.032500000000002</v>
      </c>
      <c r="Q45" s="171">
        <f>N45-K45</f>
        <v>-24.032500000000002</v>
      </c>
      <c r="R45" s="155">
        <f>I45-M45</f>
        <v>30387000</v>
      </c>
      <c r="S45" s="30">
        <f>R45/I45*100</f>
        <v>75.967500000000001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45"/>
      <c r="C46" s="246"/>
      <c r="D46" s="246"/>
      <c r="E46" s="246"/>
      <c r="F46" s="246"/>
      <c r="G46" s="246"/>
      <c r="H46" s="247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48" t="s">
        <v>52</v>
      </c>
      <c r="C47" s="249"/>
      <c r="D47" s="249"/>
      <c r="E47" s="249"/>
      <c r="F47" s="249"/>
      <c r="G47" s="249"/>
      <c r="H47" s="250"/>
      <c r="I47" s="104">
        <v>80000000</v>
      </c>
      <c r="J47" s="81" t="s">
        <v>37</v>
      </c>
      <c r="K47" s="87">
        <f>60600000/I47*100</f>
        <v>75.75</v>
      </c>
      <c r="L47" s="179">
        <f>K47</f>
        <v>75.75</v>
      </c>
      <c r="M47" s="149">
        <v>35946000</v>
      </c>
      <c r="N47" s="87">
        <f>M47/I47*100</f>
        <v>44.932499999999997</v>
      </c>
      <c r="O47" s="87">
        <f>M47/I47*100</f>
        <v>44.932499999999997</v>
      </c>
      <c r="P47" s="171">
        <f>O47-L47</f>
        <v>-30.817500000000003</v>
      </c>
      <c r="Q47" s="171">
        <f>N47-K47</f>
        <v>-30.817500000000003</v>
      </c>
      <c r="R47" s="155">
        <f>I47-M47</f>
        <v>44054000</v>
      </c>
      <c r="S47" s="30">
        <f>R47/I47*100</f>
        <v>55.067500000000003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45"/>
      <c r="C48" s="246"/>
      <c r="D48" s="246"/>
      <c r="E48" s="246"/>
      <c r="F48" s="246"/>
      <c r="G48" s="246"/>
      <c r="H48" s="247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54" t="s">
        <v>53</v>
      </c>
      <c r="C49" s="255"/>
      <c r="D49" s="255"/>
      <c r="E49" s="255"/>
      <c r="F49" s="255"/>
      <c r="G49" s="255"/>
      <c r="H49" s="256"/>
      <c r="I49" s="128">
        <f>SUM(I51:I59)</f>
        <v>1085000000</v>
      </c>
      <c r="J49" s="81" t="s">
        <v>37</v>
      </c>
      <c r="K49" s="87">
        <f>1085000000/I49*100</f>
        <v>100</v>
      </c>
      <c r="L49" s="177">
        <f>K49</f>
        <v>100</v>
      </c>
      <c r="M49" s="146">
        <f>SUM(M50:M59)</f>
        <v>667901500</v>
      </c>
      <c r="N49" s="87">
        <f>M49/I49*100</f>
        <v>61.557741935483868</v>
      </c>
      <c r="O49" s="87">
        <f>M49/I49*100</f>
        <v>61.557741935483868</v>
      </c>
      <c r="P49" s="171">
        <f>O49-L49</f>
        <v>-38.442258064516132</v>
      </c>
      <c r="Q49" s="171">
        <f>N49-K49</f>
        <v>-38.442258064516132</v>
      </c>
      <c r="R49" s="155">
        <f>I49-M49</f>
        <v>417098500</v>
      </c>
      <c r="S49" s="171">
        <f>R49/I49*100</f>
        <v>38.442258064516125</v>
      </c>
      <c r="T49" s="128"/>
      <c r="U49" s="128"/>
      <c r="V49" s="29"/>
    </row>
    <row r="50" spans="1:23" ht="12" customHeight="1">
      <c r="A50" s="141"/>
      <c r="B50" s="257"/>
      <c r="C50" s="258"/>
      <c r="D50" s="258"/>
      <c r="E50" s="258"/>
      <c r="F50" s="258"/>
      <c r="G50" s="258"/>
      <c r="H50" s="259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48" t="s">
        <v>54</v>
      </c>
      <c r="C51" s="249"/>
      <c r="D51" s="249"/>
      <c r="E51" s="249"/>
      <c r="F51" s="249"/>
      <c r="G51" s="249"/>
      <c r="H51" s="250"/>
      <c r="I51" s="122">
        <v>65000000</v>
      </c>
      <c r="J51" s="81" t="s">
        <v>37</v>
      </c>
      <c r="K51" s="180">
        <f>65000000/I51*100</f>
        <v>100</v>
      </c>
      <c r="L51" s="148">
        <f>K51</f>
        <v>100</v>
      </c>
      <c r="M51" s="149">
        <v>0</v>
      </c>
      <c r="N51" s="87">
        <f>M51/I51*100</f>
        <v>0</v>
      </c>
      <c r="O51" s="87">
        <f>M51/I51*100</f>
        <v>0</v>
      </c>
      <c r="P51" s="171">
        <f>O51-L51</f>
        <v>-100</v>
      </c>
      <c r="Q51" s="171">
        <f>N51-K51</f>
        <v>-100</v>
      </c>
      <c r="R51" s="155">
        <f>I51-M51</f>
        <v>65000000</v>
      </c>
      <c r="S51" s="30">
        <f>R51/I51*100</f>
        <v>100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57"/>
      <c r="C52" s="258"/>
      <c r="D52" s="258"/>
      <c r="E52" s="258"/>
      <c r="F52" s="258"/>
      <c r="G52" s="258"/>
      <c r="H52" s="259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48" t="s">
        <v>55</v>
      </c>
      <c r="C53" s="249"/>
      <c r="D53" s="249"/>
      <c r="E53" s="249"/>
      <c r="F53" s="249"/>
      <c r="G53" s="249"/>
      <c r="H53" s="250"/>
      <c r="I53" s="122">
        <v>120000000</v>
      </c>
      <c r="J53" s="81" t="s">
        <v>37</v>
      </c>
      <c r="K53" s="180">
        <f>120000000/I53*100</f>
        <v>100</v>
      </c>
      <c r="L53" s="148">
        <f>K53</f>
        <v>100</v>
      </c>
      <c r="M53" s="149">
        <v>80224500</v>
      </c>
      <c r="N53" s="87">
        <f>M53/I53*100</f>
        <v>66.853750000000005</v>
      </c>
      <c r="O53" s="87">
        <f>M53/I53*100</f>
        <v>66.853750000000005</v>
      </c>
      <c r="P53" s="171">
        <f>O53-L53</f>
        <v>-33.146249999999995</v>
      </c>
      <c r="Q53" s="171">
        <f>N53-K53</f>
        <v>-33.146249999999995</v>
      </c>
      <c r="R53" s="155">
        <f>I53-M53</f>
        <v>39775500</v>
      </c>
      <c r="S53" s="30">
        <f>R53/I53*100</f>
        <v>33.146250000000002</v>
      </c>
      <c r="T53" s="83"/>
      <c r="U53" s="127"/>
    </row>
    <row r="54" spans="1:23" ht="12" customHeight="1">
      <c r="A54" s="143"/>
      <c r="B54" s="245"/>
      <c r="C54" s="246"/>
      <c r="D54" s="246"/>
      <c r="E54" s="246"/>
      <c r="F54" s="246"/>
      <c r="G54" s="246"/>
      <c r="H54" s="247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66" t="s">
        <v>56</v>
      </c>
      <c r="C55" s="267"/>
      <c r="D55" s="267"/>
      <c r="E55" s="267"/>
      <c r="F55" s="267"/>
      <c r="G55" s="267"/>
      <c r="H55" s="268"/>
      <c r="I55" s="122">
        <v>50000000</v>
      </c>
      <c r="J55" s="81" t="s">
        <v>37</v>
      </c>
      <c r="K55" s="180">
        <f>50000000/I55*100</f>
        <v>100</v>
      </c>
      <c r="L55" s="129">
        <f>K55</f>
        <v>100</v>
      </c>
      <c r="M55" s="149">
        <v>0</v>
      </c>
      <c r="N55" s="87">
        <f>M55/I55*100</f>
        <v>0</v>
      </c>
      <c r="O55" s="87">
        <f>M55/I55*100</f>
        <v>0</v>
      </c>
      <c r="P55" s="171">
        <f>O55-L55</f>
        <v>-100</v>
      </c>
      <c r="Q55" s="171">
        <f>N55-K55</f>
        <v>-100</v>
      </c>
      <c r="R55" s="155">
        <f>I55-M55</f>
        <v>50000000</v>
      </c>
      <c r="S55" s="30">
        <f>R55/I55*100</f>
        <v>100</v>
      </c>
      <c r="T55" s="83"/>
      <c r="U55" s="127"/>
    </row>
    <row r="56" spans="1:23" ht="12" customHeight="1">
      <c r="A56" s="144"/>
      <c r="B56" s="257"/>
      <c r="C56" s="258"/>
      <c r="D56" s="258"/>
      <c r="E56" s="258"/>
      <c r="F56" s="258"/>
      <c r="G56" s="258"/>
      <c r="H56" s="259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48" t="s">
        <v>57</v>
      </c>
      <c r="C57" s="249"/>
      <c r="D57" s="249"/>
      <c r="E57" s="249"/>
      <c r="F57" s="249"/>
      <c r="G57" s="249"/>
      <c r="H57" s="250"/>
      <c r="I57" s="122">
        <v>500000000</v>
      </c>
      <c r="J57" s="81" t="s">
        <v>37</v>
      </c>
      <c r="K57" s="180">
        <f>500000000/I57*100</f>
        <v>100</v>
      </c>
      <c r="L57" s="148">
        <f>K57</f>
        <v>100</v>
      </c>
      <c r="M57" s="149">
        <v>255200000</v>
      </c>
      <c r="N57" s="87">
        <f>M57/I57*100</f>
        <v>51.04</v>
      </c>
      <c r="O57" s="87">
        <f>M57/I57*100</f>
        <v>51.04</v>
      </c>
      <c r="P57" s="171">
        <f>O57-L57</f>
        <v>-48.96</v>
      </c>
      <c r="Q57" s="171">
        <f>N57-K57</f>
        <v>-48.96</v>
      </c>
      <c r="R57" s="155">
        <f>I57-M57</f>
        <v>244800000</v>
      </c>
      <c r="S57" s="30">
        <f>R57/I57*100</f>
        <v>48.96</v>
      </c>
      <c r="T57" s="83"/>
      <c r="U57" s="84"/>
    </row>
    <row r="58" spans="1:23" ht="12" customHeight="1">
      <c r="A58" s="144"/>
      <c r="B58" s="245"/>
      <c r="C58" s="246"/>
      <c r="D58" s="246"/>
      <c r="E58" s="246"/>
      <c r="F58" s="246"/>
      <c r="G58" s="246"/>
      <c r="H58" s="247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48" t="s">
        <v>58</v>
      </c>
      <c r="C59" s="249"/>
      <c r="D59" s="249"/>
      <c r="E59" s="249"/>
      <c r="F59" s="249"/>
      <c r="G59" s="249"/>
      <c r="H59" s="250"/>
      <c r="I59" s="122">
        <v>350000000</v>
      </c>
      <c r="J59" s="81" t="s">
        <v>37</v>
      </c>
      <c r="K59" s="180">
        <f>350000000/I59*100</f>
        <v>100</v>
      </c>
      <c r="L59" s="148">
        <f>K59</f>
        <v>100</v>
      </c>
      <c r="M59" s="149">
        <v>332477000</v>
      </c>
      <c r="N59" s="87">
        <f>M59/I59*100</f>
        <v>94.993428571428566</v>
      </c>
      <c r="O59" s="87">
        <f>M59/I59*100</f>
        <v>94.993428571428566</v>
      </c>
      <c r="P59" s="171">
        <f>O59-L59</f>
        <v>-5.0065714285714336</v>
      </c>
      <c r="Q59" s="171">
        <f>N59-K59</f>
        <v>-5.0065714285714336</v>
      </c>
      <c r="R59" s="155">
        <f>I59-M59</f>
        <v>17523000</v>
      </c>
      <c r="S59" s="200">
        <f>R59/I59*100</f>
        <v>5.0065714285714282</v>
      </c>
      <c r="T59" s="126"/>
      <c r="U59" s="84"/>
    </row>
    <row r="60" spans="1:23" ht="12" customHeight="1">
      <c r="A60" s="141"/>
      <c r="B60" s="245"/>
      <c r="C60" s="246"/>
      <c r="D60" s="246"/>
      <c r="E60" s="246"/>
      <c r="F60" s="246"/>
      <c r="G60" s="246"/>
      <c r="H60" s="247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54" t="s">
        <v>59</v>
      </c>
      <c r="C61" s="255"/>
      <c r="D61" s="255"/>
      <c r="E61" s="255"/>
      <c r="F61" s="255"/>
      <c r="G61" s="255"/>
      <c r="H61" s="256"/>
      <c r="I61" s="85">
        <f>SUM(I63:I71)</f>
        <v>885000000</v>
      </c>
      <c r="J61" s="81" t="s">
        <v>37</v>
      </c>
      <c r="K61" s="181">
        <f>859076000/I61*100</f>
        <v>97.070734463276835</v>
      </c>
      <c r="L61" s="177">
        <f>K61</f>
        <v>97.070734463276835</v>
      </c>
      <c r="M61" s="146">
        <f>SUM(M62:M71)</f>
        <v>511980000</v>
      </c>
      <c r="N61" s="87">
        <f>M61/I61*100</f>
        <v>57.850847457627118</v>
      </c>
      <c r="O61" s="87">
        <f>M61/I61*100</f>
        <v>57.850847457627118</v>
      </c>
      <c r="P61" s="171">
        <f>O61-L61</f>
        <v>-39.219887005649717</v>
      </c>
      <c r="Q61" s="171">
        <f>N61-K61</f>
        <v>-39.219887005649717</v>
      </c>
      <c r="R61" s="155">
        <f>I61-M61</f>
        <v>373020000</v>
      </c>
      <c r="S61" s="30">
        <f>R61/I61*100</f>
        <v>42.149152542372882</v>
      </c>
      <c r="T61" s="85"/>
      <c r="U61" s="90"/>
      <c r="V61" s="29"/>
    </row>
    <row r="62" spans="1:23" s="17" customFormat="1" ht="12" customHeight="1">
      <c r="A62" s="141"/>
      <c r="B62" s="257"/>
      <c r="C62" s="258"/>
      <c r="D62" s="258"/>
      <c r="E62" s="258"/>
      <c r="F62" s="258"/>
      <c r="G62" s="258"/>
      <c r="H62" s="259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48" t="s">
        <v>60</v>
      </c>
      <c r="C63" s="249"/>
      <c r="D63" s="249"/>
      <c r="E63" s="249"/>
      <c r="F63" s="249"/>
      <c r="G63" s="249"/>
      <c r="H63" s="250"/>
      <c r="I63" s="130">
        <v>100000000</v>
      </c>
      <c r="J63" s="81" t="s">
        <v>37</v>
      </c>
      <c r="K63" s="87">
        <f>75396000/I63*100</f>
        <v>75.396000000000001</v>
      </c>
      <c r="L63" s="179">
        <f>K63</f>
        <v>75.396000000000001</v>
      </c>
      <c r="M63" s="153">
        <v>43376000</v>
      </c>
      <c r="N63" s="87">
        <f>M63/I63*100</f>
        <v>43.375999999999998</v>
      </c>
      <c r="O63" s="87">
        <f>M63/I63*100</f>
        <v>43.375999999999998</v>
      </c>
      <c r="P63" s="171">
        <f>O63-L63</f>
        <v>-32.020000000000003</v>
      </c>
      <c r="Q63" s="171">
        <f>N63-K63</f>
        <v>-32.020000000000003</v>
      </c>
      <c r="R63" s="155">
        <f>I63-M63</f>
        <v>56624000</v>
      </c>
      <c r="S63" s="30">
        <f>R63/I63*100</f>
        <v>56.623999999999995</v>
      </c>
      <c r="T63" s="83"/>
      <c r="U63" s="84"/>
    </row>
    <row r="64" spans="1:23" ht="12" customHeight="1">
      <c r="A64" s="143"/>
      <c r="B64" s="245"/>
      <c r="C64" s="246"/>
      <c r="D64" s="246"/>
      <c r="E64" s="246"/>
      <c r="F64" s="246"/>
      <c r="G64" s="246"/>
      <c r="H64" s="247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48" t="s">
        <v>61</v>
      </c>
      <c r="C65" s="249"/>
      <c r="D65" s="249"/>
      <c r="E65" s="249"/>
      <c r="F65" s="249"/>
      <c r="G65" s="249"/>
      <c r="H65" s="250"/>
      <c r="I65" s="104">
        <v>50000000</v>
      </c>
      <c r="J65" s="81" t="s">
        <v>37</v>
      </c>
      <c r="K65" s="87">
        <f>48680000/I65*100</f>
        <v>97.36</v>
      </c>
      <c r="L65" s="179">
        <f>K65</f>
        <v>97.36</v>
      </c>
      <c r="M65" s="149">
        <v>3792000</v>
      </c>
      <c r="N65" s="87">
        <f>M65/I65*100</f>
        <v>7.5840000000000005</v>
      </c>
      <c r="O65" s="87">
        <f>M65/I65*100</f>
        <v>7.5840000000000005</v>
      </c>
      <c r="P65" s="171">
        <f>O65-L65</f>
        <v>-89.775999999999996</v>
      </c>
      <c r="Q65" s="171">
        <f>N65-K65</f>
        <v>-89.775999999999996</v>
      </c>
      <c r="R65" s="155">
        <f>I65-M65</f>
        <v>46208000</v>
      </c>
      <c r="S65" s="30">
        <f>R65/I65*100</f>
        <v>92.415999999999997</v>
      </c>
      <c r="T65" s="83"/>
      <c r="U65" s="84"/>
    </row>
    <row r="66" spans="1:22" ht="12" customHeight="1">
      <c r="A66" s="143"/>
      <c r="B66" s="245"/>
      <c r="C66" s="246"/>
      <c r="D66" s="246"/>
      <c r="E66" s="246"/>
      <c r="F66" s="246"/>
      <c r="G66" s="246"/>
      <c r="H66" s="247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48" t="s">
        <v>62</v>
      </c>
      <c r="C67" s="249"/>
      <c r="D67" s="249"/>
      <c r="E67" s="249"/>
      <c r="F67" s="249"/>
      <c r="G67" s="249"/>
      <c r="H67" s="250"/>
      <c r="I67" s="104">
        <v>565000000</v>
      </c>
      <c r="J67" s="81" t="s">
        <v>37</v>
      </c>
      <c r="K67" s="180">
        <f>565000000/I67*100</f>
        <v>100</v>
      </c>
      <c r="L67" s="148">
        <f>K67</f>
        <v>100</v>
      </c>
      <c r="M67" s="149">
        <v>464812000</v>
      </c>
      <c r="N67" s="87">
        <f>M67/I67*100</f>
        <v>82.267610619469025</v>
      </c>
      <c r="O67" s="87">
        <f>M67/I67*100</f>
        <v>82.267610619469025</v>
      </c>
      <c r="P67" s="171">
        <f>O67-L67</f>
        <v>-17.732389380530975</v>
      </c>
      <c r="Q67" s="171">
        <f>N67-K67</f>
        <v>-17.732389380530975</v>
      </c>
      <c r="R67" s="155">
        <f>I67-M67</f>
        <v>100188000</v>
      </c>
      <c r="S67" s="30">
        <f>R67/I67*100</f>
        <v>17.732389380530975</v>
      </c>
      <c r="T67" s="83"/>
      <c r="U67" s="84"/>
    </row>
    <row r="68" spans="1:22" s="17" customFormat="1" ht="12" customHeight="1">
      <c r="A68" s="144"/>
      <c r="B68" s="257"/>
      <c r="C68" s="258"/>
      <c r="D68" s="258"/>
      <c r="E68" s="258"/>
      <c r="F68" s="258"/>
      <c r="G68" s="258"/>
      <c r="H68" s="259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48" t="s">
        <v>63</v>
      </c>
      <c r="C69" s="249"/>
      <c r="D69" s="249"/>
      <c r="E69" s="249"/>
      <c r="F69" s="249"/>
      <c r="G69" s="249"/>
      <c r="H69" s="250"/>
      <c r="I69" s="104">
        <v>50000000</v>
      </c>
      <c r="J69" s="81" t="s">
        <v>37</v>
      </c>
      <c r="K69" s="180">
        <f>50000000/I69*100</f>
        <v>100</v>
      </c>
      <c r="L69" s="148">
        <f>K69</f>
        <v>100</v>
      </c>
      <c r="M69" s="149">
        <v>0</v>
      </c>
      <c r="N69" s="87">
        <f>M69/I69*100</f>
        <v>0</v>
      </c>
      <c r="O69" s="87">
        <f>M69/I69*100</f>
        <v>0</v>
      </c>
      <c r="P69" s="171">
        <f>O69-L69</f>
        <v>-100</v>
      </c>
      <c r="Q69" s="171">
        <f>N69-K69</f>
        <v>-100</v>
      </c>
      <c r="R69" s="155">
        <f>I69-M69</f>
        <v>50000000</v>
      </c>
      <c r="S69" s="30">
        <f>R69/I69*100</f>
        <v>100</v>
      </c>
      <c r="T69" s="83"/>
      <c r="U69" s="84"/>
    </row>
    <row r="70" spans="1:22" s="17" customFormat="1" ht="12" customHeight="1">
      <c r="A70" s="144"/>
      <c r="B70" s="257"/>
      <c r="C70" s="258"/>
      <c r="D70" s="258"/>
      <c r="E70" s="258"/>
      <c r="F70" s="258"/>
      <c r="G70" s="258"/>
      <c r="H70" s="259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48" t="s">
        <v>64</v>
      </c>
      <c r="C71" s="249"/>
      <c r="D71" s="249"/>
      <c r="E71" s="249"/>
      <c r="F71" s="249"/>
      <c r="G71" s="249"/>
      <c r="H71" s="250"/>
      <c r="I71" s="104">
        <v>120000000</v>
      </c>
      <c r="J71" s="81" t="s">
        <v>37</v>
      </c>
      <c r="K71" s="180">
        <f>120000000/I71*100</f>
        <v>100</v>
      </c>
      <c r="L71" s="148">
        <f>K71</f>
        <v>100</v>
      </c>
      <c r="M71" s="149">
        <v>0</v>
      </c>
      <c r="N71" s="87">
        <f>M71/I71*100</f>
        <v>0</v>
      </c>
      <c r="O71" s="87">
        <f>M71/I71*100</f>
        <v>0</v>
      </c>
      <c r="P71" s="171">
        <f>O71-L71</f>
        <v>-100</v>
      </c>
      <c r="Q71" s="171">
        <f>N71-K71</f>
        <v>-100</v>
      </c>
      <c r="R71" s="155">
        <f>I71-M71</f>
        <v>120000000</v>
      </c>
      <c r="S71" s="30">
        <f>R71/I71*100</f>
        <v>100</v>
      </c>
      <c r="T71" s="79"/>
      <c r="U71" s="84"/>
      <c r="V71" s="29"/>
    </row>
    <row r="72" spans="1:22" s="17" customFormat="1" ht="12" customHeight="1">
      <c r="A72" s="144"/>
      <c r="B72" s="257"/>
      <c r="C72" s="258"/>
      <c r="D72" s="258"/>
      <c r="E72" s="258"/>
      <c r="F72" s="258"/>
      <c r="G72" s="258"/>
      <c r="H72" s="259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63" t="s">
        <v>65</v>
      </c>
      <c r="C73" s="264"/>
      <c r="D73" s="264"/>
      <c r="E73" s="264"/>
      <c r="F73" s="264"/>
      <c r="G73" s="264"/>
      <c r="H73" s="265"/>
      <c r="I73" s="85">
        <f>SUM(I75:I87)</f>
        <v>580000000</v>
      </c>
      <c r="J73" s="81" t="s">
        <v>37</v>
      </c>
      <c r="K73" s="192">
        <f>455000000/I73*100</f>
        <v>78.448275862068968</v>
      </c>
      <c r="L73" s="177">
        <f>K73</f>
        <v>78.448275862068968</v>
      </c>
      <c r="M73" s="146">
        <f>SUM(M75:M87)</f>
        <v>373922000</v>
      </c>
      <c r="N73" s="87">
        <f>M73/I73*100</f>
        <v>64.469310344827591</v>
      </c>
      <c r="O73" s="87">
        <f>M73/I73*100</f>
        <v>64.469310344827591</v>
      </c>
      <c r="P73" s="171">
        <f>O73-L73</f>
        <v>-13.978965517241377</v>
      </c>
      <c r="Q73" s="171">
        <f>N73-K73</f>
        <v>-13.978965517241377</v>
      </c>
      <c r="R73" s="155">
        <f>I73-M73</f>
        <v>206078000</v>
      </c>
      <c r="S73" s="30">
        <f>R73/I73*100</f>
        <v>35.530689655172417</v>
      </c>
      <c r="T73" s="85"/>
      <c r="U73" s="90"/>
      <c r="V73" s="29"/>
    </row>
    <row r="74" spans="1:22" s="17" customFormat="1" ht="12" customHeight="1">
      <c r="A74" s="141"/>
      <c r="B74" s="257"/>
      <c r="C74" s="258"/>
      <c r="D74" s="258"/>
      <c r="E74" s="258"/>
      <c r="F74" s="258"/>
      <c r="G74" s="258"/>
      <c r="H74" s="259"/>
      <c r="I74" s="79"/>
      <c r="J74" s="82"/>
      <c r="K74" s="191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48" t="s">
        <v>66</v>
      </c>
      <c r="C75" s="249"/>
      <c r="D75" s="249"/>
      <c r="E75" s="249"/>
      <c r="F75" s="249"/>
      <c r="G75" s="249"/>
      <c r="H75" s="250"/>
      <c r="I75" s="130">
        <v>125000000</v>
      </c>
      <c r="J75" s="81" t="s">
        <v>37</v>
      </c>
      <c r="K75" s="180">
        <f>125000000/I75*100</f>
        <v>100</v>
      </c>
      <c r="L75" s="148">
        <f>K75</f>
        <v>100</v>
      </c>
      <c r="M75" s="153">
        <v>112117000</v>
      </c>
      <c r="N75" s="87">
        <f>M75/I75*100</f>
        <v>89.693599999999989</v>
      </c>
      <c r="O75" s="87">
        <f>M75/I75*100</f>
        <v>89.693599999999989</v>
      </c>
      <c r="P75" s="171">
        <f>O75-L75</f>
        <v>-10.306400000000011</v>
      </c>
      <c r="Q75" s="171">
        <f>N75-K75</f>
        <v>-10.306400000000011</v>
      </c>
      <c r="R75" s="155">
        <f>I75-M75</f>
        <v>12883000</v>
      </c>
      <c r="S75" s="30">
        <f>R75/I75*100</f>
        <v>10.3064</v>
      </c>
      <c r="T75" s="83"/>
      <c r="U75" s="84"/>
    </row>
    <row r="76" spans="1:22" ht="12" customHeight="1">
      <c r="A76" s="143"/>
      <c r="B76" s="245"/>
      <c r="C76" s="246"/>
      <c r="D76" s="246"/>
      <c r="E76" s="246"/>
      <c r="F76" s="246"/>
      <c r="G76" s="246"/>
      <c r="H76" s="247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48" t="s">
        <v>67</v>
      </c>
      <c r="C77" s="249"/>
      <c r="D77" s="249"/>
      <c r="E77" s="249"/>
      <c r="F77" s="249"/>
      <c r="G77" s="249"/>
      <c r="H77" s="250"/>
      <c r="I77" s="130">
        <v>70000000</v>
      </c>
      <c r="J77" s="81" t="s">
        <v>37</v>
      </c>
      <c r="K77" s="180">
        <f>70000000/I77*100</f>
        <v>100</v>
      </c>
      <c r="L77" s="148">
        <f>K77</f>
        <v>100</v>
      </c>
      <c r="M77" s="153">
        <v>63250000</v>
      </c>
      <c r="N77" s="87">
        <f>M77/I77*100</f>
        <v>90.357142857142861</v>
      </c>
      <c r="O77" s="87">
        <f>M77/I77*100</f>
        <v>90.357142857142861</v>
      </c>
      <c r="P77" s="171">
        <f>O77-L77</f>
        <v>-9.6428571428571388</v>
      </c>
      <c r="Q77" s="171">
        <f>N77-K77</f>
        <v>-9.6428571428571388</v>
      </c>
      <c r="R77" s="155">
        <f>I77-M77</f>
        <v>6750000</v>
      </c>
      <c r="S77" s="30">
        <f>R77/I77*100</f>
        <v>9.6428571428571441</v>
      </c>
      <c r="T77" s="83"/>
      <c r="U77" s="84"/>
    </row>
    <row r="78" spans="1:22" ht="12" customHeight="1">
      <c r="A78" s="143"/>
      <c r="B78" s="245"/>
      <c r="C78" s="246"/>
      <c r="D78" s="246"/>
      <c r="E78" s="246"/>
      <c r="F78" s="246"/>
      <c r="G78" s="246"/>
      <c r="H78" s="247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48" t="s">
        <v>68</v>
      </c>
      <c r="C79" s="249"/>
      <c r="D79" s="249"/>
      <c r="E79" s="249"/>
      <c r="F79" s="249"/>
      <c r="G79" s="249"/>
      <c r="H79" s="250"/>
      <c r="I79" s="113">
        <v>75000000</v>
      </c>
      <c r="J79" s="81" t="s">
        <v>37</v>
      </c>
      <c r="K79" s="180">
        <f>75000000/I79*100</f>
        <v>100</v>
      </c>
      <c r="L79" s="148">
        <f>K79</f>
        <v>100</v>
      </c>
      <c r="M79" s="153">
        <v>29505000</v>
      </c>
      <c r="N79" s="87">
        <f>M79/I79*100</f>
        <v>39.340000000000003</v>
      </c>
      <c r="O79" s="87">
        <f>M79/I79*100</f>
        <v>39.340000000000003</v>
      </c>
      <c r="P79" s="171">
        <f>O79-L79</f>
        <v>-60.66</v>
      </c>
      <c r="Q79" s="171">
        <f>N79-K79</f>
        <v>-60.66</v>
      </c>
      <c r="R79" s="155">
        <f>I79-M79</f>
        <v>45495000</v>
      </c>
      <c r="S79" s="30">
        <f>R79/I79*100</f>
        <v>60.660000000000004</v>
      </c>
      <c r="T79" s="83"/>
      <c r="U79" s="84"/>
    </row>
    <row r="80" spans="1:22" ht="12" customHeight="1">
      <c r="A80" s="143"/>
      <c r="B80" s="245"/>
      <c r="C80" s="246"/>
      <c r="D80" s="246"/>
      <c r="E80" s="246"/>
      <c r="F80" s="246"/>
      <c r="G80" s="246"/>
      <c r="H80" s="247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69" t="s">
        <v>69</v>
      </c>
      <c r="C81" s="270"/>
      <c r="D81" s="270"/>
      <c r="E81" s="270"/>
      <c r="F81" s="270"/>
      <c r="G81" s="270"/>
      <c r="H81" s="271"/>
      <c r="I81" s="104">
        <v>125000000</v>
      </c>
      <c r="J81" s="81" t="s">
        <v>37</v>
      </c>
      <c r="K81" s="180">
        <f>0/I81*100</f>
        <v>0</v>
      </c>
      <c r="L81" s="149">
        <f>K81</f>
        <v>0</v>
      </c>
      <c r="M81" s="149">
        <v>0</v>
      </c>
      <c r="N81" s="87">
        <f>M81/I81*100</f>
        <v>0</v>
      </c>
      <c r="O81" s="87">
        <f>M81/I81*100</f>
        <v>0</v>
      </c>
      <c r="P81" s="171">
        <f>O81-L81</f>
        <v>0</v>
      </c>
      <c r="Q81" s="171">
        <f>N81-K81</f>
        <v>0</v>
      </c>
      <c r="R81" s="155">
        <f>I81-M81</f>
        <v>125000000</v>
      </c>
      <c r="S81" s="30">
        <f>R81/I81*100</f>
        <v>100</v>
      </c>
      <c r="T81" s="85"/>
      <c r="U81" s="97"/>
      <c r="V81" s="29"/>
    </row>
    <row r="82" spans="1:22" s="17" customFormat="1" ht="12" customHeight="1">
      <c r="A82" s="144"/>
      <c r="B82" s="257"/>
      <c r="C82" s="258"/>
      <c r="D82" s="258"/>
      <c r="E82" s="258"/>
      <c r="F82" s="258"/>
      <c r="G82" s="258"/>
      <c r="H82" s="259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48" t="s">
        <v>70</v>
      </c>
      <c r="C83" s="249"/>
      <c r="D83" s="249"/>
      <c r="E83" s="249"/>
      <c r="F83" s="249"/>
      <c r="G83" s="249"/>
      <c r="H83" s="250"/>
      <c r="I83" s="104">
        <v>75000000</v>
      </c>
      <c r="J83" s="81" t="s">
        <v>37</v>
      </c>
      <c r="K83" s="180">
        <f>75000000/I83*100</f>
        <v>100</v>
      </c>
      <c r="L83" s="148">
        <f>K83</f>
        <v>100</v>
      </c>
      <c r="M83" s="149">
        <v>67000000</v>
      </c>
      <c r="N83" s="87">
        <f>M83/I83*100</f>
        <v>89.333333333333329</v>
      </c>
      <c r="O83" s="87">
        <f>M83/I83*100</f>
        <v>89.333333333333329</v>
      </c>
      <c r="P83" s="171">
        <f>O83-L83</f>
        <v>-10.666666666666671</v>
      </c>
      <c r="Q83" s="171">
        <f>N83-K83</f>
        <v>-10.666666666666671</v>
      </c>
      <c r="R83" s="155">
        <f>I83-M83</f>
        <v>8000000</v>
      </c>
      <c r="S83" s="30">
        <f>R83/I83*100</f>
        <v>10.666666666666668</v>
      </c>
      <c r="T83" s="134"/>
      <c r="U83" s="84"/>
    </row>
    <row r="84" spans="1:22">
      <c r="A84" s="143"/>
      <c r="B84" s="245"/>
      <c r="C84" s="246"/>
      <c r="D84" s="246"/>
      <c r="E84" s="246"/>
      <c r="F84" s="246"/>
      <c r="G84" s="246"/>
      <c r="H84" s="247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48" t="s">
        <v>71</v>
      </c>
      <c r="C85" s="249"/>
      <c r="D85" s="249"/>
      <c r="E85" s="249"/>
      <c r="F85" s="249"/>
      <c r="G85" s="249"/>
      <c r="H85" s="250"/>
      <c r="I85" s="104">
        <v>50000000</v>
      </c>
      <c r="J85" s="81" t="s">
        <v>37</v>
      </c>
      <c r="K85" s="180">
        <f>50000000/I85*100</f>
        <v>100</v>
      </c>
      <c r="L85" s="149">
        <f>K85</f>
        <v>100</v>
      </c>
      <c r="M85" s="149">
        <v>48050000</v>
      </c>
      <c r="N85" s="87">
        <f>M85/I85*100</f>
        <v>96.1</v>
      </c>
      <c r="O85" s="87">
        <f>M85/I85*100</f>
        <v>96.1</v>
      </c>
      <c r="P85" s="171">
        <f>O85-L85</f>
        <v>-3.9000000000000057</v>
      </c>
      <c r="Q85" s="171">
        <f>N85-K85</f>
        <v>-3.9000000000000057</v>
      </c>
      <c r="R85" s="155">
        <f>I85-M85</f>
        <v>1950000</v>
      </c>
      <c r="S85" s="30">
        <f>R85/I85*100</f>
        <v>3.9</v>
      </c>
      <c r="T85" s="134"/>
      <c r="U85" s="84"/>
    </row>
    <row r="86" spans="1:22">
      <c r="A86" s="143"/>
      <c r="B86" s="245"/>
      <c r="C86" s="246"/>
      <c r="D86" s="246"/>
      <c r="E86" s="246"/>
      <c r="F86" s="246"/>
      <c r="G86" s="246"/>
      <c r="H86" s="247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48" t="s">
        <v>72</v>
      </c>
      <c r="C87" s="249"/>
      <c r="D87" s="249"/>
      <c r="E87" s="249"/>
      <c r="F87" s="249"/>
      <c r="G87" s="249"/>
      <c r="H87" s="250"/>
      <c r="I87" s="104">
        <v>60000000</v>
      </c>
      <c r="J87" s="81" t="s">
        <v>37</v>
      </c>
      <c r="K87" s="180">
        <f>60000000/I87*100</f>
        <v>100</v>
      </c>
      <c r="L87" s="149">
        <f>K87</f>
        <v>100</v>
      </c>
      <c r="M87" s="149">
        <v>54000000</v>
      </c>
      <c r="N87" s="87">
        <f>M87/I87*100</f>
        <v>90</v>
      </c>
      <c r="O87" s="87">
        <f>M87/I87*100</f>
        <v>90</v>
      </c>
      <c r="P87" s="171">
        <f>O87-L87</f>
        <v>-10</v>
      </c>
      <c r="Q87" s="171">
        <f>N87-K87</f>
        <v>-10</v>
      </c>
      <c r="R87" s="155">
        <f>I87-M87</f>
        <v>6000000</v>
      </c>
      <c r="S87" s="30">
        <f>R87/I87*100</f>
        <v>10</v>
      </c>
      <c r="T87" s="134"/>
      <c r="U87" s="84"/>
    </row>
    <row r="88" spans="1:22" ht="12" customHeight="1">
      <c r="A88" s="140"/>
      <c r="B88" s="245"/>
      <c r="C88" s="246"/>
      <c r="D88" s="246"/>
      <c r="E88" s="246"/>
      <c r="F88" s="246"/>
      <c r="G88" s="246"/>
      <c r="H88" s="247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63" t="s">
        <v>73</v>
      </c>
      <c r="C89" s="264"/>
      <c r="D89" s="264"/>
      <c r="E89" s="264"/>
      <c r="F89" s="264"/>
      <c r="G89" s="264"/>
      <c r="H89" s="265"/>
      <c r="I89" s="85">
        <f>SUM(I91:I97)</f>
        <v>380000000</v>
      </c>
      <c r="J89" s="81" t="s">
        <v>37</v>
      </c>
      <c r="K89" s="87">
        <f>336770000/I89*100</f>
        <v>88.623684210526321</v>
      </c>
      <c r="L89" s="177">
        <f>K89</f>
        <v>88.623684210526321</v>
      </c>
      <c r="M89" s="146">
        <f>SUM(M91:M97)</f>
        <v>144982000</v>
      </c>
      <c r="N89" s="87">
        <f>M89/I89*100</f>
        <v>38.153157894736843</v>
      </c>
      <c r="O89" s="87">
        <f>M89/I89*100</f>
        <v>38.153157894736843</v>
      </c>
      <c r="P89" s="171">
        <f>O89-L89</f>
        <v>-50.470526315789478</v>
      </c>
      <c r="Q89" s="171">
        <f>N89-K89</f>
        <v>-50.470526315789478</v>
      </c>
      <c r="R89" s="155">
        <f>I89-M89</f>
        <v>235018000</v>
      </c>
      <c r="S89" s="30">
        <f>R89/I89*100</f>
        <v>61.846842105263157</v>
      </c>
      <c r="T89" s="85"/>
      <c r="U89" s="90"/>
      <c r="V89" s="29"/>
    </row>
    <row r="90" spans="1:22" s="17" customFormat="1" ht="12" customHeight="1">
      <c r="A90" s="141"/>
      <c r="B90" s="257"/>
      <c r="C90" s="258"/>
      <c r="D90" s="258"/>
      <c r="E90" s="258"/>
      <c r="F90" s="258"/>
      <c r="G90" s="258"/>
      <c r="H90" s="259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48" t="s">
        <v>74</v>
      </c>
      <c r="C91" s="249"/>
      <c r="D91" s="249"/>
      <c r="E91" s="249"/>
      <c r="F91" s="249"/>
      <c r="G91" s="249"/>
      <c r="H91" s="250"/>
      <c r="I91" s="130">
        <v>80000000</v>
      </c>
      <c r="J91" s="81" t="s">
        <v>37</v>
      </c>
      <c r="K91" s="180">
        <f>80000000/I91*100</f>
        <v>100</v>
      </c>
      <c r="L91" s="148">
        <f>K91</f>
        <v>100</v>
      </c>
      <c r="M91" s="153">
        <v>65932000</v>
      </c>
      <c r="N91" s="87">
        <f>M91/I91*100</f>
        <v>82.415000000000006</v>
      </c>
      <c r="O91" s="87">
        <f>M91/I91*100</f>
        <v>82.415000000000006</v>
      </c>
      <c r="P91" s="171">
        <f>O91-L91</f>
        <v>-17.584999999999994</v>
      </c>
      <c r="Q91" s="171">
        <f>N91-K91</f>
        <v>-17.584999999999994</v>
      </c>
      <c r="R91" s="155">
        <f>I91-M91</f>
        <v>14068000</v>
      </c>
      <c r="S91" s="30">
        <f>R91/I91*100</f>
        <v>17.585000000000001</v>
      </c>
      <c r="T91" s="83"/>
      <c r="U91" s="84"/>
    </row>
    <row r="92" spans="1:22" ht="12" customHeight="1">
      <c r="A92" s="143"/>
      <c r="B92" s="245"/>
      <c r="C92" s="246"/>
      <c r="D92" s="246"/>
      <c r="E92" s="246"/>
      <c r="F92" s="246"/>
      <c r="G92" s="246"/>
      <c r="H92" s="247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48" t="s">
        <v>75</v>
      </c>
      <c r="C93" s="249"/>
      <c r="D93" s="249"/>
      <c r="E93" s="249"/>
      <c r="F93" s="249"/>
      <c r="G93" s="249"/>
      <c r="H93" s="250"/>
      <c r="I93" s="130">
        <v>75000000</v>
      </c>
      <c r="J93" s="81" t="s">
        <v>37</v>
      </c>
      <c r="K93" s="180">
        <f>75000000/I93*100</f>
        <v>100</v>
      </c>
      <c r="L93" s="148">
        <f>K93</f>
        <v>100</v>
      </c>
      <c r="M93" s="153">
        <v>0</v>
      </c>
      <c r="N93" s="87">
        <f>M93/I93*100</f>
        <v>0</v>
      </c>
      <c r="O93" s="87">
        <f>M93/I93*100</f>
        <v>0</v>
      </c>
      <c r="P93" s="171">
        <f>O93-L93</f>
        <v>-100</v>
      </c>
      <c r="Q93" s="171">
        <f>N93-K93</f>
        <v>-100</v>
      </c>
      <c r="R93" s="155">
        <f>I93-M93</f>
        <v>75000000</v>
      </c>
      <c r="S93" s="30">
        <f>R93/I93*100</f>
        <v>100</v>
      </c>
      <c r="T93" s="83"/>
      <c r="U93" s="84"/>
    </row>
    <row r="94" spans="1:22" ht="12" customHeight="1">
      <c r="A94" s="143"/>
      <c r="B94" s="245"/>
      <c r="C94" s="246"/>
      <c r="D94" s="246"/>
      <c r="E94" s="246"/>
      <c r="F94" s="246"/>
      <c r="G94" s="246"/>
      <c r="H94" s="247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48" t="s">
        <v>76</v>
      </c>
      <c r="C95" s="249"/>
      <c r="D95" s="249"/>
      <c r="E95" s="249"/>
      <c r="F95" s="249"/>
      <c r="G95" s="249"/>
      <c r="H95" s="250"/>
      <c r="I95" s="136">
        <v>125000000</v>
      </c>
      <c r="J95" s="81" t="s">
        <v>37</v>
      </c>
      <c r="K95" s="180">
        <f>125000000/I95*100</f>
        <v>100</v>
      </c>
      <c r="L95" s="148">
        <f>K95</f>
        <v>100</v>
      </c>
      <c r="M95" s="149">
        <v>36800000</v>
      </c>
      <c r="N95" s="87">
        <f>M95/I95*100</f>
        <v>29.439999999999998</v>
      </c>
      <c r="O95" s="87">
        <f>M95/I95*100</f>
        <v>29.439999999999998</v>
      </c>
      <c r="P95" s="171">
        <f>O95-L95</f>
        <v>-70.56</v>
      </c>
      <c r="Q95" s="171">
        <f>N95-K95</f>
        <v>-70.56</v>
      </c>
      <c r="R95" s="155">
        <f>I95-M95</f>
        <v>88200000</v>
      </c>
      <c r="S95" s="30">
        <f>R95/I95*100</f>
        <v>70.56</v>
      </c>
      <c r="T95" s="83"/>
      <c r="U95" s="84"/>
    </row>
    <row r="96" spans="1:22" ht="12" customHeight="1">
      <c r="A96" s="143"/>
      <c r="B96" s="245"/>
      <c r="C96" s="246"/>
      <c r="D96" s="246"/>
      <c r="E96" s="246"/>
      <c r="F96" s="246"/>
      <c r="G96" s="246"/>
      <c r="H96" s="247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48" t="s">
        <v>77</v>
      </c>
      <c r="C97" s="249"/>
      <c r="D97" s="249"/>
      <c r="E97" s="249"/>
      <c r="F97" s="249"/>
      <c r="G97" s="249"/>
      <c r="H97" s="250"/>
      <c r="I97" s="136">
        <v>100000000</v>
      </c>
      <c r="J97" s="81" t="s">
        <v>37</v>
      </c>
      <c r="K97" s="87">
        <f>56770000/I97*100</f>
        <v>56.769999999999996</v>
      </c>
      <c r="L97" s="179">
        <f>K97</f>
        <v>56.769999999999996</v>
      </c>
      <c r="M97" s="149">
        <v>42250000</v>
      </c>
      <c r="N97" s="87">
        <f>M97/I97*100</f>
        <v>42.25</v>
      </c>
      <c r="O97" s="87">
        <f>M97/I97*100</f>
        <v>42.25</v>
      </c>
      <c r="P97" s="171">
        <f>O97-L97</f>
        <v>-14.519999999999996</v>
      </c>
      <c r="Q97" s="171">
        <f>N97-K97</f>
        <v>-14.519999999999996</v>
      </c>
      <c r="R97" s="155">
        <f>I97-M97</f>
        <v>57750000</v>
      </c>
      <c r="S97" s="171">
        <f>R97/I97*100</f>
        <v>57.75</v>
      </c>
      <c r="T97" s="83"/>
      <c r="U97" s="84"/>
      <c r="V97" s="20"/>
    </row>
    <row r="98" spans="1:22" ht="12" customHeight="1">
      <c r="A98" s="98"/>
      <c r="B98" s="245"/>
      <c r="C98" s="246"/>
      <c r="D98" s="246"/>
      <c r="E98" s="246"/>
      <c r="F98" s="246"/>
      <c r="G98" s="246"/>
      <c r="H98" s="247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72" t="s">
        <v>78</v>
      </c>
      <c r="B99" s="272"/>
      <c r="C99" s="272"/>
      <c r="D99" s="272"/>
      <c r="E99" s="272"/>
      <c r="F99" s="272"/>
      <c r="G99" s="272"/>
      <c r="H99" s="272"/>
      <c r="I99" s="138">
        <f>SUM(I17+I33+I39+I49+I61+I73+I89)</f>
        <v>4283000000</v>
      </c>
      <c r="J99" s="86"/>
      <c r="K99" s="86"/>
      <c r="L99" s="138"/>
      <c r="M99" s="201">
        <f>M17+M33+M39+M49+M61+M73+M89</f>
        <v>2500536171</v>
      </c>
      <c r="N99" s="86">
        <f>M99/I99*100</f>
        <v>58.382819775858039</v>
      </c>
      <c r="O99" s="138">
        <f>M99/I99*100</f>
        <v>58.382819775858039</v>
      </c>
      <c r="P99" s="81"/>
      <c r="Q99" s="81"/>
      <c r="R99" s="138">
        <f>R17+R33+R39+R49+R61+R73+R89</f>
        <v>1782463829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76"/>
      <c r="Q101" s="276"/>
      <c r="R101" s="276"/>
      <c r="S101" s="276"/>
      <c r="T101" s="276"/>
      <c r="U101" s="276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96"/>
      <c r="Q102" s="277" t="s">
        <v>137</v>
      </c>
      <c r="R102" s="277"/>
      <c r="S102" s="277"/>
      <c r="T102" s="277"/>
      <c r="U102" s="277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78" t="s">
        <v>79</v>
      </c>
      <c r="R103" s="278"/>
      <c r="S103" s="278"/>
      <c r="T103" s="278"/>
      <c r="U103" s="278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78" t="s">
        <v>80</v>
      </c>
      <c r="R104" s="278"/>
      <c r="S104" s="278"/>
      <c r="T104" s="278"/>
      <c r="U104" s="278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78" t="s">
        <v>81</v>
      </c>
      <c r="R105" s="278"/>
      <c r="S105" s="278"/>
      <c r="T105" s="278"/>
      <c r="U105" s="278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97"/>
      <c r="Q106" s="197"/>
      <c r="R106" s="197"/>
      <c r="S106" s="197"/>
      <c r="T106" s="197"/>
      <c r="U106" s="197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97"/>
      <c r="Q107" s="197"/>
      <c r="R107" s="197"/>
      <c r="S107" s="197"/>
      <c r="T107" s="197"/>
      <c r="U107" s="197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97"/>
      <c r="Q108" s="197"/>
      <c r="R108" s="197"/>
      <c r="S108" s="197"/>
      <c r="T108" s="197"/>
      <c r="U108" s="197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79"/>
      <c r="Q109" s="279"/>
      <c r="R109" s="279"/>
      <c r="S109" s="197"/>
      <c r="T109" s="197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96"/>
      <c r="Q110" s="196"/>
      <c r="R110" s="196"/>
      <c r="S110" s="196"/>
      <c r="T110" s="196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96"/>
      <c r="Q111" s="273" t="s">
        <v>82</v>
      </c>
      <c r="R111" s="273"/>
      <c r="S111" s="273"/>
      <c r="T111" s="273"/>
      <c r="U111" s="273"/>
      <c r="V111" s="20"/>
    </row>
    <row r="112" spans="1:22" ht="12.75" customHeight="1">
      <c r="P112" s="157"/>
      <c r="Q112" s="274" t="s">
        <v>83</v>
      </c>
      <c r="R112" s="274"/>
      <c r="S112" s="274"/>
      <c r="T112" s="274"/>
      <c r="U112" s="274"/>
      <c r="V112" s="20"/>
    </row>
    <row r="113" spans="1:22" ht="12.75" customHeight="1">
      <c r="P113" s="158"/>
      <c r="Q113" s="274" t="s">
        <v>84</v>
      </c>
      <c r="R113" s="274"/>
      <c r="S113" s="274"/>
      <c r="T113" s="274"/>
      <c r="U113" s="274"/>
      <c r="V113" s="20"/>
    </row>
    <row r="114" spans="1:22" ht="12.75" customHeight="1">
      <c r="A114" s="20"/>
      <c r="B114" s="275"/>
      <c r="C114" s="275"/>
      <c r="D114" s="275"/>
      <c r="E114" s="275"/>
      <c r="F114" s="275"/>
      <c r="G114" s="275"/>
      <c r="H114" s="275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FORMAT 2</vt:lpstr>
      <vt:lpstr>FORMAT 3</vt:lpstr>
      <vt:lpstr>FORMAT 1</vt:lpstr>
      <vt:lpstr>Sheet1</vt:lpstr>
      <vt:lpstr>Sheet2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DELL</cp:lastModifiedBy>
  <cp:lastPrinted>2019-09-23T07:05:13Z</cp:lastPrinted>
  <dcterms:created xsi:type="dcterms:W3CDTF">2018-03-08T03:47:00Z</dcterms:created>
  <dcterms:modified xsi:type="dcterms:W3CDTF">2019-09-23T07:05:18Z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