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7305" firstSheet="5" activeTab="5"/>
  </bookViews>
  <sheets>
    <sheet name="April 2018" sheetId="5" state="hidden" r:id="rId1"/>
    <sheet name="Lap.Bul. Mei 2017" sheetId="1" state="hidden" r:id="rId2"/>
    <sheet name="Sheet1" sheetId="2" state="hidden" r:id="rId3"/>
    <sheet name="Mei 2018" sheetId="6" state="hidden" r:id="rId4"/>
    <sheet name="Juli 2018" sheetId="8" state="hidden" r:id="rId5"/>
    <sheet name="Desember 2019" sheetId="19" r:id="rId6"/>
  </sheets>
  <externalReferences>
    <externalReference r:id="rId7"/>
    <externalReference r:id="rId8"/>
  </externalReferences>
  <definedNames>
    <definedName name="_xlnm.Print_Area" localSheetId="0">'April 2018'!$A$1:$L$123</definedName>
    <definedName name="_xlnm.Print_Area" localSheetId="5">'Desember 2019'!$A$1:$U$82</definedName>
    <definedName name="_xlnm.Print_Area" localSheetId="4">'Juli 2018'!$A$1:$L$120</definedName>
    <definedName name="_xlnm.Print_Area" localSheetId="1">'Lap.Bul. Mei 2017'!$A$1:$M$123</definedName>
    <definedName name="_xlnm.Print_Area" localSheetId="3">'Mei 2018'!$A$1:$L$119</definedName>
    <definedName name="_xlnm.Print_Area" localSheetId="2">Sheet1!$A$1:$H$15</definedName>
    <definedName name="_xlnm.Print_Titles" localSheetId="0">'April 2018'!$6:$8</definedName>
    <definedName name="_xlnm.Print_Titles" localSheetId="5">'Desember 2019'!$6:$8</definedName>
  </definedNames>
  <calcPr calcId="152511"/>
</workbook>
</file>

<file path=xl/calcChain.xml><?xml version="1.0" encoding="utf-8"?>
<calcChain xmlns="http://schemas.openxmlformats.org/spreadsheetml/2006/main">
  <c r="D32" i="19" l="1"/>
  <c r="J32" i="19" l="1"/>
  <c r="N67" i="19"/>
  <c r="D67" i="19"/>
  <c r="N59" i="19"/>
  <c r="D59" i="19"/>
  <c r="N48" i="19"/>
  <c r="D48" i="19"/>
  <c r="N41" i="19"/>
  <c r="N27" i="19"/>
  <c r="N15" i="19"/>
  <c r="D15" i="19"/>
  <c r="R72" i="19" l="1"/>
  <c r="S72" i="19" s="1"/>
  <c r="P69" i="19"/>
  <c r="R64" i="19"/>
  <c r="S64" i="19" s="1"/>
  <c r="P58" i="19"/>
  <c r="O58" i="19" s="1"/>
  <c r="P55" i="19"/>
  <c r="P47" i="19"/>
  <c r="O47" i="19" s="1"/>
  <c r="R39" i="19"/>
  <c r="S39" i="19" s="1"/>
  <c r="R65" i="19"/>
  <c r="S65" i="19" s="1"/>
  <c r="R45" i="19"/>
  <c r="S45" i="19" s="1"/>
  <c r="R38" i="19"/>
  <c r="S38" i="19" s="1"/>
  <c r="P16" i="19"/>
  <c r="O16" i="19" s="1"/>
  <c r="L74" i="19"/>
  <c r="L67" i="19" s="1"/>
  <c r="K74" i="19"/>
  <c r="R73" i="19"/>
  <c r="S73" i="19" s="1"/>
  <c r="P73" i="19"/>
  <c r="O73" i="19" s="1"/>
  <c r="K73" i="19"/>
  <c r="K72" i="19"/>
  <c r="F72" i="19"/>
  <c r="R71" i="19"/>
  <c r="S71" i="19" s="1"/>
  <c r="P71" i="19"/>
  <c r="H71" i="19" s="1"/>
  <c r="K71" i="19"/>
  <c r="F71" i="19"/>
  <c r="R70" i="19"/>
  <c r="S70" i="19" s="1"/>
  <c r="P70" i="19"/>
  <c r="O70" i="19" s="1"/>
  <c r="K70" i="19"/>
  <c r="F70" i="19"/>
  <c r="K69" i="19"/>
  <c r="F69" i="19"/>
  <c r="P68" i="19"/>
  <c r="O68" i="19" s="1"/>
  <c r="K68" i="19"/>
  <c r="M67" i="19"/>
  <c r="J67" i="19"/>
  <c r="G67" i="19"/>
  <c r="F68" i="19"/>
  <c r="R66" i="19"/>
  <c r="S66" i="19" s="1"/>
  <c r="P66" i="19"/>
  <c r="O66" i="19" s="1"/>
  <c r="K66" i="19"/>
  <c r="K65" i="19"/>
  <c r="F65" i="19"/>
  <c r="P64" i="19"/>
  <c r="H64" i="19" s="1"/>
  <c r="K64" i="19"/>
  <c r="F64" i="19"/>
  <c r="R63" i="19"/>
  <c r="S63" i="19" s="1"/>
  <c r="P63" i="19"/>
  <c r="O63" i="19" s="1"/>
  <c r="K63" i="19"/>
  <c r="R62" i="19"/>
  <c r="S62" i="19" s="1"/>
  <c r="P62" i="19"/>
  <c r="O62" i="19" s="1"/>
  <c r="K62" i="19"/>
  <c r="F62" i="19"/>
  <c r="R61" i="19"/>
  <c r="S61" i="19" s="1"/>
  <c r="P61" i="19"/>
  <c r="O61" i="19" s="1"/>
  <c r="K61" i="19"/>
  <c r="R60" i="19"/>
  <c r="S60" i="19" s="1"/>
  <c r="P60" i="19"/>
  <c r="O60" i="19" s="1"/>
  <c r="K60" i="19"/>
  <c r="P59" i="19"/>
  <c r="M59" i="19"/>
  <c r="L59" i="19"/>
  <c r="J59" i="19"/>
  <c r="K59" i="19" s="1"/>
  <c r="G59" i="19"/>
  <c r="F61" i="19"/>
  <c r="C59" i="19"/>
  <c r="R58" i="19"/>
  <c r="S58" i="19" s="1"/>
  <c r="K58" i="19"/>
  <c r="R57" i="19"/>
  <c r="S57" i="19" s="1"/>
  <c r="P57" i="19"/>
  <c r="O57" i="19" s="1"/>
  <c r="K57" i="19"/>
  <c r="Q57" i="19" s="1"/>
  <c r="H57" i="19"/>
  <c r="R56" i="19"/>
  <c r="S56" i="19" s="1"/>
  <c r="P56" i="19"/>
  <c r="O56" i="19" s="1"/>
  <c r="K56" i="19"/>
  <c r="R55" i="19"/>
  <c r="S55" i="19" s="1"/>
  <c r="K55" i="19"/>
  <c r="F55" i="19"/>
  <c r="R54" i="19"/>
  <c r="S54" i="19" s="1"/>
  <c r="P54" i="19"/>
  <c r="O54" i="19" s="1"/>
  <c r="K54" i="19"/>
  <c r="R53" i="19"/>
  <c r="S53" i="19" s="1"/>
  <c r="P53" i="19"/>
  <c r="Q53" i="19" s="1"/>
  <c r="K53" i="19"/>
  <c r="F53" i="19"/>
  <c r="R52" i="19"/>
  <c r="S52" i="19" s="1"/>
  <c r="P52" i="19"/>
  <c r="O52" i="19" s="1"/>
  <c r="K52" i="19"/>
  <c r="Q52" i="19" s="1"/>
  <c r="K51" i="19"/>
  <c r="F51" i="19"/>
  <c r="R50" i="19"/>
  <c r="S50" i="19" s="1"/>
  <c r="P50" i="19"/>
  <c r="K50" i="19"/>
  <c r="F50" i="19"/>
  <c r="R49" i="19"/>
  <c r="S49" i="19" s="1"/>
  <c r="P49" i="19"/>
  <c r="O49" i="19" s="1"/>
  <c r="K49" i="19"/>
  <c r="M48" i="19"/>
  <c r="L48" i="19"/>
  <c r="J48" i="19"/>
  <c r="G48" i="19"/>
  <c r="F58" i="19"/>
  <c r="C48" i="19"/>
  <c r="R47" i="19"/>
  <c r="S47" i="19" s="1"/>
  <c r="K47" i="19"/>
  <c r="F47" i="19"/>
  <c r="S46" i="19"/>
  <c r="R46" i="19"/>
  <c r="P46" i="19"/>
  <c r="H46" i="19" s="1"/>
  <c r="K46" i="19"/>
  <c r="K45" i="19"/>
  <c r="R44" i="19"/>
  <c r="S44" i="19" s="1"/>
  <c r="P44" i="19"/>
  <c r="K44" i="19"/>
  <c r="R43" i="19"/>
  <c r="S43" i="19" s="1"/>
  <c r="J43" i="19"/>
  <c r="J41" i="19" s="1"/>
  <c r="D43" i="19"/>
  <c r="D41" i="19" s="1"/>
  <c r="P41" i="19" s="1"/>
  <c r="S42" i="19"/>
  <c r="R42" i="19"/>
  <c r="P42" i="19"/>
  <c r="O42" i="19" s="1"/>
  <c r="K42" i="19"/>
  <c r="F42" i="19"/>
  <c r="M41" i="19"/>
  <c r="L41" i="19"/>
  <c r="G41" i="19"/>
  <c r="C41" i="19"/>
  <c r="R40" i="19"/>
  <c r="S40" i="19" s="1"/>
  <c r="P40" i="19"/>
  <c r="O40" i="19" s="1"/>
  <c r="K40" i="19"/>
  <c r="F40" i="19"/>
  <c r="K39" i="19"/>
  <c r="F39" i="19"/>
  <c r="K38" i="19"/>
  <c r="R37" i="19"/>
  <c r="S37" i="19" s="1"/>
  <c r="P37" i="19"/>
  <c r="O37" i="19" s="1"/>
  <c r="L37" i="19"/>
  <c r="K37" i="19"/>
  <c r="R36" i="19"/>
  <c r="S36" i="19" s="1"/>
  <c r="P36" i="19"/>
  <c r="O36" i="19" s="1"/>
  <c r="L36" i="19"/>
  <c r="K36" i="19"/>
  <c r="Q36" i="19" s="1"/>
  <c r="C36" i="19"/>
  <c r="R35" i="19"/>
  <c r="S35" i="19" s="1"/>
  <c r="P35" i="19"/>
  <c r="H35" i="19" s="1"/>
  <c r="K35" i="19"/>
  <c r="G35" i="19"/>
  <c r="G36" i="19" s="1"/>
  <c r="G37" i="19" s="1"/>
  <c r="G38" i="19" s="1"/>
  <c r="G39" i="19" s="1"/>
  <c r="G40" i="19" s="1"/>
  <c r="F35" i="19"/>
  <c r="C35" i="19"/>
  <c r="R34" i="19"/>
  <c r="S34" i="19" s="1"/>
  <c r="P34" i="19"/>
  <c r="O34" i="19" s="1"/>
  <c r="K34" i="19"/>
  <c r="G34" i="19"/>
  <c r="F34" i="19"/>
  <c r="N33" i="19"/>
  <c r="N32" i="19" s="1"/>
  <c r="K33" i="19"/>
  <c r="F33" i="19"/>
  <c r="M32" i="19"/>
  <c r="K32" i="19"/>
  <c r="G32" i="19"/>
  <c r="K31" i="19"/>
  <c r="R30" i="19"/>
  <c r="S30" i="19" s="1"/>
  <c r="P30" i="19"/>
  <c r="O30" i="19"/>
  <c r="K30" i="19"/>
  <c r="H30" i="19"/>
  <c r="K29" i="19"/>
  <c r="R28" i="19"/>
  <c r="S28" i="19" s="1"/>
  <c r="P28" i="19"/>
  <c r="H28" i="19" s="1"/>
  <c r="O28" i="19"/>
  <c r="K28" i="19"/>
  <c r="M27" i="19"/>
  <c r="L27" i="19"/>
  <c r="J27" i="19"/>
  <c r="G27" i="19"/>
  <c r="D27" i="19"/>
  <c r="F30" i="19" s="1"/>
  <c r="R26" i="19"/>
  <c r="S26" i="19" s="1"/>
  <c r="P26" i="19"/>
  <c r="H26" i="19" s="1"/>
  <c r="O26" i="19"/>
  <c r="K26" i="19"/>
  <c r="R25" i="19"/>
  <c r="S25" i="19" s="1"/>
  <c r="P25" i="19"/>
  <c r="O25" i="19" s="1"/>
  <c r="K25" i="19"/>
  <c r="N24" i="19"/>
  <c r="M24" i="19"/>
  <c r="L24" i="19"/>
  <c r="J24" i="19"/>
  <c r="D24" i="19"/>
  <c r="F26" i="19" s="1"/>
  <c r="R23" i="19"/>
  <c r="S23" i="19" s="1"/>
  <c r="P23" i="19"/>
  <c r="O23" i="19" s="1"/>
  <c r="K23" i="19"/>
  <c r="F23" i="19"/>
  <c r="R22" i="19"/>
  <c r="S22" i="19" s="1"/>
  <c r="P22" i="19"/>
  <c r="O22" i="19" s="1"/>
  <c r="K22" i="19"/>
  <c r="R21" i="19"/>
  <c r="S21" i="19" s="1"/>
  <c r="P21" i="19"/>
  <c r="O21" i="19" s="1"/>
  <c r="K21" i="19"/>
  <c r="K20" i="19"/>
  <c r="F20" i="19"/>
  <c r="R19" i="19"/>
  <c r="S19" i="19" s="1"/>
  <c r="P19" i="19"/>
  <c r="O19" i="19" s="1"/>
  <c r="K19" i="19"/>
  <c r="Q19" i="19" s="1"/>
  <c r="H19" i="19"/>
  <c r="K18" i="19"/>
  <c r="R17" i="19"/>
  <c r="S17" i="19" s="1"/>
  <c r="P17" i="19"/>
  <c r="O17" i="19" s="1"/>
  <c r="K17" i="19"/>
  <c r="R16" i="19"/>
  <c r="S16" i="19" s="1"/>
  <c r="K16" i="19"/>
  <c r="F16" i="19"/>
  <c r="M15" i="19"/>
  <c r="L15" i="19"/>
  <c r="J15" i="19"/>
  <c r="K15" i="19" s="1"/>
  <c r="G15" i="19"/>
  <c r="F17" i="19"/>
  <c r="R13" i="19"/>
  <c r="P13" i="19"/>
  <c r="O13" i="19" s="1"/>
  <c r="K13" i="19"/>
  <c r="N12" i="19"/>
  <c r="M12" i="19"/>
  <c r="L12" i="19"/>
  <c r="J12" i="19"/>
  <c r="D12" i="19"/>
  <c r="F44" i="19" l="1"/>
  <c r="I44" i="19" s="1"/>
  <c r="O46" i="19"/>
  <c r="Q44" i="19"/>
  <c r="P43" i="19"/>
  <c r="H43" i="19" s="1"/>
  <c r="Q26" i="19"/>
  <c r="H61" i="19"/>
  <c r="I61" i="19" s="1"/>
  <c r="L32" i="19"/>
  <c r="Q61" i="19"/>
  <c r="Q17" i="19"/>
  <c r="Q66" i="19"/>
  <c r="M14" i="19"/>
  <c r="M10" i="19" s="1"/>
  <c r="I35" i="19"/>
  <c r="Q37" i="19"/>
  <c r="H52" i="19"/>
  <c r="R33" i="19"/>
  <c r="K12" i="19"/>
  <c r="K24" i="19"/>
  <c r="Q24" i="19" s="1"/>
  <c r="Q30" i="19"/>
  <c r="Q46" i="19"/>
  <c r="K43" i="19"/>
  <c r="Q43" i="19" s="1"/>
  <c r="J14" i="19"/>
  <c r="Q22" i="19"/>
  <c r="P24" i="19"/>
  <c r="O24" i="19" s="1"/>
  <c r="H34" i="19"/>
  <c r="I34" i="19" s="1"/>
  <c r="Q42" i="19"/>
  <c r="O43" i="19"/>
  <c r="H49" i="19"/>
  <c r="Q50" i="19"/>
  <c r="Q49" i="19"/>
  <c r="D14" i="19"/>
  <c r="D10" i="19" s="1"/>
  <c r="Q73" i="19"/>
  <c r="Q62" i="19"/>
  <c r="Q56" i="19"/>
  <c r="H54" i="19"/>
  <c r="Q54" i="19"/>
  <c r="O50" i="19"/>
  <c r="H44" i="19"/>
  <c r="O44" i="19"/>
  <c r="H36" i="19"/>
  <c r="Q35" i="19"/>
  <c r="Q34" i="19"/>
  <c r="Q28" i="19"/>
  <c r="I26" i="19"/>
  <c r="R24" i="19"/>
  <c r="S24" i="19" s="1"/>
  <c r="N14" i="19"/>
  <c r="N10" i="19" s="1"/>
  <c r="Q23" i="19"/>
  <c r="H22" i="19"/>
  <c r="I71" i="19"/>
  <c r="I64" i="19"/>
  <c r="P72" i="19"/>
  <c r="O72" i="19" s="1"/>
  <c r="Q71" i="19"/>
  <c r="O71" i="19"/>
  <c r="R69" i="19"/>
  <c r="S69" i="19" s="1"/>
  <c r="Q58" i="19"/>
  <c r="Q55" i="19"/>
  <c r="O55" i="19"/>
  <c r="H55" i="19"/>
  <c r="I55" i="19" s="1"/>
  <c r="H53" i="19"/>
  <c r="I53" i="19" s="1"/>
  <c r="O53" i="19"/>
  <c r="P51" i="19"/>
  <c r="O51" i="19" s="1"/>
  <c r="R51" i="19"/>
  <c r="S51" i="19" s="1"/>
  <c r="H50" i="19"/>
  <c r="I50" i="19" s="1"/>
  <c r="Q47" i="19"/>
  <c r="O35" i="19"/>
  <c r="R31" i="19"/>
  <c r="S31" i="19" s="1"/>
  <c r="P31" i="19"/>
  <c r="O31" i="19" s="1"/>
  <c r="P29" i="19"/>
  <c r="R29" i="19"/>
  <c r="S29" i="19" s="1"/>
  <c r="P20" i="19"/>
  <c r="O20" i="19" s="1"/>
  <c r="R20" i="19"/>
  <c r="S20" i="19" s="1"/>
  <c r="P15" i="19"/>
  <c r="Q15" i="19" s="1"/>
  <c r="P18" i="19"/>
  <c r="Q18" i="19" s="1"/>
  <c r="R18" i="19"/>
  <c r="S18" i="19" s="1"/>
  <c r="P65" i="19"/>
  <c r="P74" i="19"/>
  <c r="R74" i="19"/>
  <c r="S74" i="19" s="1"/>
  <c r="H69" i="19"/>
  <c r="I69" i="19" s="1"/>
  <c r="Q69" i="19"/>
  <c r="O69" i="19"/>
  <c r="P67" i="19"/>
  <c r="H67" i="19" s="1"/>
  <c r="H68" i="19"/>
  <c r="I68" i="19" s="1"/>
  <c r="Q68" i="19"/>
  <c r="R68" i="19"/>
  <c r="S68" i="19" s="1"/>
  <c r="Q64" i="19"/>
  <c r="O64" i="19"/>
  <c r="H58" i="19"/>
  <c r="I58" i="19" s="1"/>
  <c r="P45" i="19"/>
  <c r="H45" i="19" s="1"/>
  <c r="P39" i="19"/>
  <c r="H40" i="19"/>
  <c r="I40" i="19" s="1"/>
  <c r="Q40" i="19"/>
  <c r="R32" i="19"/>
  <c r="S32" i="19" s="1"/>
  <c r="P38" i="19"/>
  <c r="H38" i="19" s="1"/>
  <c r="H17" i="19"/>
  <c r="I17" i="19" s="1"/>
  <c r="R15" i="19"/>
  <c r="S15" i="19" s="1"/>
  <c r="S13" i="19"/>
  <c r="S12" i="19" s="1"/>
  <c r="P12" i="19"/>
  <c r="R12" i="19"/>
  <c r="Q13" i="19"/>
  <c r="H24" i="19"/>
  <c r="H59" i="19"/>
  <c r="O59" i="19"/>
  <c r="K14" i="19"/>
  <c r="J10" i="19"/>
  <c r="H41" i="19"/>
  <c r="O41" i="19"/>
  <c r="P32" i="19"/>
  <c r="Q32" i="19" s="1"/>
  <c r="Q59" i="19"/>
  <c r="I30" i="19"/>
  <c r="L14" i="19"/>
  <c r="L10" i="19" s="1"/>
  <c r="Q16" i="19"/>
  <c r="F18" i="19"/>
  <c r="Q21" i="19"/>
  <c r="H23" i="19"/>
  <c r="I23" i="19" s="1"/>
  <c r="Q25" i="19"/>
  <c r="F28" i="19"/>
  <c r="I28" i="19" s="1"/>
  <c r="F37" i="19"/>
  <c r="H42" i="19"/>
  <c r="I42" i="19" s="1"/>
  <c r="H47" i="19"/>
  <c r="I47" i="19" s="1"/>
  <c r="Q51" i="19"/>
  <c r="Q60" i="19"/>
  <c r="H62" i="19"/>
  <c r="I62" i="19" s="1"/>
  <c r="Q63" i="19"/>
  <c r="Q70" i="19"/>
  <c r="P27" i="19"/>
  <c r="F31" i="19"/>
  <c r="F45" i="19"/>
  <c r="K48" i="19"/>
  <c r="F56" i="19"/>
  <c r="F59" i="19"/>
  <c r="F66" i="19"/>
  <c r="K67" i="19"/>
  <c r="F73" i="19"/>
  <c r="F25" i="19"/>
  <c r="H37" i="19"/>
  <c r="F43" i="19"/>
  <c r="I43" i="19" s="1"/>
  <c r="H56" i="19"/>
  <c r="F60" i="19"/>
  <c r="F63" i="19"/>
  <c r="H66" i="19"/>
  <c r="H73" i="19"/>
  <c r="H16" i="19"/>
  <c r="I16" i="19" s="1"/>
  <c r="F19" i="19"/>
  <c r="I19" i="19" s="1"/>
  <c r="H21" i="19"/>
  <c r="F24" i="19"/>
  <c r="H25" i="19"/>
  <c r="R27" i="19"/>
  <c r="S27" i="19" s="1"/>
  <c r="F29" i="19"/>
  <c r="R41" i="19"/>
  <c r="S41" i="19" s="1"/>
  <c r="H51" i="19"/>
  <c r="I51" i="19" s="1"/>
  <c r="F54" i="19"/>
  <c r="I54" i="19" s="1"/>
  <c r="F57" i="19"/>
  <c r="I57" i="19" s="1"/>
  <c r="H60" i="19"/>
  <c r="H63" i="19"/>
  <c r="H70" i="19"/>
  <c r="I70" i="19" s="1"/>
  <c r="F74" i="19"/>
  <c r="F22" i="19"/>
  <c r="K27" i="19"/>
  <c r="F36" i="19"/>
  <c r="F38" i="19"/>
  <c r="K41" i="19"/>
  <c r="Q41" i="19" s="1"/>
  <c r="F46" i="19"/>
  <c r="I46" i="19" s="1"/>
  <c r="F49" i="19"/>
  <c r="F52" i="19"/>
  <c r="I52" i="19" s="1"/>
  <c r="R59" i="19"/>
  <c r="S59" i="19" s="1"/>
  <c r="I36" i="19" l="1"/>
  <c r="Q12" i="19"/>
  <c r="I49" i="19"/>
  <c r="I22" i="19"/>
  <c r="F32" i="19"/>
  <c r="I66" i="19"/>
  <c r="H72" i="19"/>
  <c r="I72" i="19" s="1"/>
  <c r="I25" i="19"/>
  <c r="Q72" i="19"/>
  <c r="I38" i="19"/>
  <c r="Q31" i="19"/>
  <c r="H31" i="19"/>
  <c r="I31" i="19" s="1"/>
  <c r="I73" i="19"/>
  <c r="I60" i="19"/>
  <c r="I63" i="19"/>
  <c r="I37" i="19"/>
  <c r="Q27" i="19"/>
  <c r="O15" i="19"/>
  <c r="H15" i="19"/>
  <c r="I24" i="19"/>
  <c r="R48" i="19"/>
  <c r="S48" i="19" s="1"/>
  <c r="P48" i="19"/>
  <c r="H48" i="19" s="1"/>
  <c r="O38" i="19"/>
  <c r="Q38" i="19"/>
  <c r="O29" i="19"/>
  <c r="H29" i="19"/>
  <c r="I29" i="19" s="1"/>
  <c r="Q29" i="19"/>
  <c r="Q20" i="19"/>
  <c r="H20" i="19"/>
  <c r="I20" i="19" s="1"/>
  <c r="H18" i="19"/>
  <c r="I18" i="19" s="1"/>
  <c r="O18" i="19"/>
  <c r="Q65" i="19"/>
  <c r="O65" i="19"/>
  <c r="H65" i="19"/>
  <c r="I65" i="19" s="1"/>
  <c r="H74" i="19"/>
  <c r="I74" i="19" s="1"/>
  <c r="O74" i="19"/>
  <c r="Q74" i="19"/>
  <c r="Q67" i="19"/>
  <c r="O67" i="19"/>
  <c r="R67" i="19"/>
  <c r="S67" i="19" s="1"/>
  <c r="O45" i="19"/>
  <c r="Q45" i="19"/>
  <c r="H39" i="19"/>
  <c r="I39" i="19" s="1"/>
  <c r="Q39" i="19"/>
  <c r="O39" i="19"/>
  <c r="O12" i="19"/>
  <c r="H12" i="19"/>
  <c r="O33" i="19"/>
  <c r="H33" i="19"/>
  <c r="I33" i="19" s="1"/>
  <c r="I45" i="19"/>
  <c r="I59" i="19"/>
  <c r="K10" i="19"/>
  <c r="F12" i="19"/>
  <c r="F67" i="19"/>
  <c r="I67" i="19" s="1"/>
  <c r="F48" i="19"/>
  <c r="F41" i="19"/>
  <c r="I41" i="19" s="1"/>
  <c r="F21" i="19"/>
  <c r="I21" i="19" s="1"/>
  <c r="F15" i="19"/>
  <c r="F27" i="19"/>
  <c r="F14" i="19"/>
  <c r="O32" i="19"/>
  <c r="H32" i="19"/>
  <c r="I32" i="19" s="1"/>
  <c r="I56" i="19"/>
  <c r="H27" i="19"/>
  <c r="O27" i="19"/>
  <c r="I12" i="19" l="1"/>
  <c r="O48" i="19"/>
  <c r="I15" i="19"/>
  <c r="I27" i="19"/>
  <c r="I48" i="19"/>
  <c r="Q48" i="19"/>
  <c r="R14" i="19"/>
  <c r="S14" i="19" s="1"/>
  <c r="P14" i="19"/>
  <c r="Q14" i="19" s="1"/>
  <c r="P10" i="19"/>
  <c r="Q10" i="19" s="1"/>
  <c r="R10" i="19" l="1"/>
  <c r="S10" i="19" s="1"/>
  <c r="O14" i="19"/>
  <c r="H14" i="19"/>
  <c r="I14" i="19" s="1"/>
  <c r="O10" i="19"/>
  <c r="H10" i="19"/>
  <c r="I10" i="19" s="1"/>
  <c r="I56" i="8" l="1"/>
  <c r="O56" i="8" s="1"/>
  <c r="I44" i="8"/>
  <c r="O44" i="8"/>
  <c r="I41" i="8"/>
  <c r="K41" i="8"/>
  <c r="L41" i="8" s="1"/>
  <c r="I107" i="8"/>
  <c r="I103" i="8"/>
  <c r="O103" i="8"/>
  <c r="I82" i="8"/>
  <c r="J82" i="8"/>
  <c r="G82" i="8"/>
  <c r="I81" i="8"/>
  <c r="K81" i="8"/>
  <c r="L81" i="8"/>
  <c r="I80" i="8"/>
  <c r="I78" i="8"/>
  <c r="I70" i="8"/>
  <c r="O70" i="8"/>
  <c r="I59" i="8"/>
  <c r="O59" i="8"/>
  <c r="I55" i="8"/>
  <c r="I54" i="8"/>
  <c r="J54" i="8"/>
  <c r="G54" i="8"/>
  <c r="I38" i="8"/>
  <c r="J38" i="8"/>
  <c r="G38" i="8"/>
  <c r="H38" i="8" s="1"/>
  <c r="I37" i="8"/>
  <c r="J37" i="8"/>
  <c r="G37" i="8" s="1"/>
  <c r="H37" i="8" s="1"/>
  <c r="I34" i="8"/>
  <c r="O34" i="8"/>
  <c r="I32" i="8"/>
  <c r="K32" i="8"/>
  <c r="L32" i="8"/>
  <c r="I22" i="8"/>
  <c r="K22" i="8"/>
  <c r="L22" i="8" s="1"/>
  <c r="I20" i="8"/>
  <c r="O20" i="8"/>
  <c r="I18" i="8"/>
  <c r="K18" i="8"/>
  <c r="L18" i="8"/>
  <c r="I17" i="8"/>
  <c r="K17" i="8"/>
  <c r="L17" i="8" s="1"/>
  <c r="I13" i="8"/>
  <c r="J13" i="8"/>
  <c r="L13" i="8"/>
  <c r="L12" i="8"/>
  <c r="D90" i="8"/>
  <c r="K97" i="8"/>
  <c r="L97" i="8" s="1"/>
  <c r="J97" i="8"/>
  <c r="G97" i="8"/>
  <c r="I112" i="8"/>
  <c r="K112" i="8"/>
  <c r="L112" i="8"/>
  <c r="I111" i="8"/>
  <c r="O110" i="8"/>
  <c r="K110" i="8"/>
  <c r="L110" i="8"/>
  <c r="J110" i="8"/>
  <c r="G110" i="8" s="1"/>
  <c r="K109" i="8"/>
  <c r="L109" i="8" s="1"/>
  <c r="J109" i="8"/>
  <c r="G109" i="8"/>
  <c r="K108" i="8"/>
  <c r="L108" i="8"/>
  <c r="J108" i="8"/>
  <c r="G108" i="8" s="1"/>
  <c r="F106" i="8"/>
  <c r="D106" i="8"/>
  <c r="E110" i="8" s="1"/>
  <c r="K104" i="8"/>
  <c r="L104" i="8"/>
  <c r="J104" i="8"/>
  <c r="G104" i="8"/>
  <c r="K102" i="8"/>
  <c r="L102" i="8"/>
  <c r="J102" i="8"/>
  <c r="G102" i="8" s="1"/>
  <c r="O101" i="8"/>
  <c r="K101" i="8"/>
  <c r="L101" i="8"/>
  <c r="J101" i="8"/>
  <c r="G101" i="8" s="1"/>
  <c r="C101" i="8"/>
  <c r="O100" i="8"/>
  <c r="K100" i="8"/>
  <c r="L100" i="8"/>
  <c r="J100" i="8"/>
  <c r="G100" i="8"/>
  <c r="C100" i="8"/>
  <c r="F99" i="8"/>
  <c r="D99" i="8"/>
  <c r="C99" i="8"/>
  <c r="O98" i="8"/>
  <c r="I96" i="8"/>
  <c r="O96" i="8"/>
  <c r="K95" i="8"/>
  <c r="L95" i="8" s="1"/>
  <c r="J95" i="8"/>
  <c r="G95" i="8" s="1"/>
  <c r="O94" i="8"/>
  <c r="K94" i="8"/>
  <c r="L94" i="8"/>
  <c r="J94" i="8"/>
  <c r="G94" i="8"/>
  <c r="H94" i="8" s="1"/>
  <c r="I93" i="8"/>
  <c r="O93" i="8"/>
  <c r="C93" i="8"/>
  <c r="K92" i="8"/>
  <c r="L92" i="8"/>
  <c r="J92" i="8"/>
  <c r="G92" i="8"/>
  <c r="O91" i="8"/>
  <c r="K91" i="8"/>
  <c r="L91" i="8" s="1"/>
  <c r="J91" i="8"/>
  <c r="G91" i="8" s="1"/>
  <c r="C91" i="8"/>
  <c r="F90" i="8"/>
  <c r="C90" i="8"/>
  <c r="K88" i="8"/>
  <c r="L88" i="8" s="1"/>
  <c r="J88" i="8"/>
  <c r="G88" i="8" s="1"/>
  <c r="K87" i="8"/>
  <c r="L87" i="8" s="1"/>
  <c r="J87" i="8"/>
  <c r="G87" i="8"/>
  <c r="I86" i="8"/>
  <c r="C86" i="8"/>
  <c r="O85" i="8"/>
  <c r="K85" i="8"/>
  <c r="L85" i="8"/>
  <c r="J85" i="8"/>
  <c r="G85" i="8"/>
  <c r="C85" i="8"/>
  <c r="O84" i="8"/>
  <c r="K84" i="8"/>
  <c r="L84" i="8" s="1"/>
  <c r="J84" i="8"/>
  <c r="G84" i="8"/>
  <c r="C84" i="8"/>
  <c r="O83" i="8"/>
  <c r="K83" i="8"/>
  <c r="L83" i="8" s="1"/>
  <c r="J83" i="8"/>
  <c r="G83" i="8" s="1"/>
  <c r="C83" i="8"/>
  <c r="C82" i="8"/>
  <c r="C81" i="8"/>
  <c r="K80" i="8"/>
  <c r="L80" i="8"/>
  <c r="C80" i="8"/>
  <c r="K79" i="8"/>
  <c r="L79" i="8" s="1"/>
  <c r="J79" i="8"/>
  <c r="G79" i="8"/>
  <c r="C78" i="8"/>
  <c r="F77" i="8"/>
  <c r="D77" i="8"/>
  <c r="C77" i="8"/>
  <c r="O76" i="8"/>
  <c r="I75" i="8"/>
  <c r="K75" i="8"/>
  <c r="L75" i="8"/>
  <c r="C75" i="8"/>
  <c r="I74" i="8"/>
  <c r="I73" i="8"/>
  <c r="K73" i="8" s="1"/>
  <c r="L73" i="8" s="1"/>
  <c r="C73" i="8"/>
  <c r="F72" i="8"/>
  <c r="D72" i="8"/>
  <c r="C72" i="8"/>
  <c r="O71" i="8"/>
  <c r="C70" i="8"/>
  <c r="I69" i="8"/>
  <c r="O69" i="8"/>
  <c r="C69" i="8"/>
  <c r="O68" i="8"/>
  <c r="K68" i="8"/>
  <c r="L68" i="8" s="1"/>
  <c r="J68" i="8"/>
  <c r="G68" i="8" s="1"/>
  <c r="C68" i="8"/>
  <c r="D67" i="8"/>
  <c r="E68" i="8"/>
  <c r="K65" i="8"/>
  <c r="L65" i="8"/>
  <c r="J65" i="8"/>
  <c r="G65" i="8"/>
  <c r="H65" i="8" s="1"/>
  <c r="I64" i="8"/>
  <c r="F64" i="8"/>
  <c r="D64" i="8"/>
  <c r="E65" i="8"/>
  <c r="K62" i="8"/>
  <c r="L62" i="8"/>
  <c r="J62" i="8"/>
  <c r="G62" i="8"/>
  <c r="I61" i="8"/>
  <c r="F61" i="8"/>
  <c r="D61" i="8"/>
  <c r="C59" i="8"/>
  <c r="F58" i="8"/>
  <c r="D58" i="8"/>
  <c r="E59" i="8" s="1"/>
  <c r="C58" i="8"/>
  <c r="O57" i="8"/>
  <c r="C56" i="8"/>
  <c r="C55" i="8"/>
  <c r="I53" i="8"/>
  <c r="K53" i="8"/>
  <c r="L53" i="8"/>
  <c r="F52" i="8"/>
  <c r="D52" i="8"/>
  <c r="C52" i="8"/>
  <c r="O51" i="8"/>
  <c r="I50" i="8"/>
  <c r="J50" i="8"/>
  <c r="G50" i="8"/>
  <c r="I49" i="8"/>
  <c r="J49" i="8"/>
  <c r="G49" i="8" s="1"/>
  <c r="H49" i="8" s="1"/>
  <c r="I48" i="8"/>
  <c r="C48" i="8"/>
  <c r="I47" i="8"/>
  <c r="O47" i="8"/>
  <c r="C47" i="8"/>
  <c r="I46" i="8"/>
  <c r="C46" i="8"/>
  <c r="O45" i="8"/>
  <c r="K45" i="8"/>
  <c r="L45" i="8"/>
  <c r="J45" i="8"/>
  <c r="G45" i="8"/>
  <c r="C45" i="8"/>
  <c r="C44" i="8"/>
  <c r="F43" i="8"/>
  <c r="D43" i="8"/>
  <c r="E46" i="8"/>
  <c r="C43" i="8"/>
  <c r="O42" i="8"/>
  <c r="C41" i="8"/>
  <c r="F40" i="8"/>
  <c r="D40" i="8"/>
  <c r="K40" i="8" s="1"/>
  <c r="L40" i="8" s="1"/>
  <c r="C40" i="8"/>
  <c r="D36" i="8"/>
  <c r="E37" i="8"/>
  <c r="O35" i="8"/>
  <c r="K34" i="8"/>
  <c r="L34" i="8" s="1"/>
  <c r="I33" i="8"/>
  <c r="O31" i="8"/>
  <c r="K31" i="8"/>
  <c r="L31" i="8"/>
  <c r="J31" i="8"/>
  <c r="G31" i="8"/>
  <c r="O30" i="8"/>
  <c r="K30" i="8"/>
  <c r="L30" i="8" s="1"/>
  <c r="J30" i="8"/>
  <c r="G30" i="8"/>
  <c r="O29" i="8"/>
  <c r="K29" i="8"/>
  <c r="L29" i="8"/>
  <c r="J29" i="8"/>
  <c r="G29" i="8"/>
  <c r="O28" i="8"/>
  <c r="K28" i="8"/>
  <c r="L28" i="8"/>
  <c r="J28" i="8"/>
  <c r="G28" i="8" s="1"/>
  <c r="H28" i="8" s="1"/>
  <c r="F27" i="8"/>
  <c r="D27" i="8"/>
  <c r="E34" i="8"/>
  <c r="C27" i="8"/>
  <c r="O26" i="8"/>
  <c r="I25" i="8"/>
  <c r="O25" i="8"/>
  <c r="I24" i="8"/>
  <c r="O24" i="8"/>
  <c r="I23" i="8"/>
  <c r="O23" i="8"/>
  <c r="J22" i="8"/>
  <c r="G22" i="8" s="1"/>
  <c r="H22" i="8" s="1"/>
  <c r="K21" i="8"/>
  <c r="L21" i="8"/>
  <c r="J21" i="8"/>
  <c r="G21" i="8"/>
  <c r="I19" i="8"/>
  <c r="K19" i="8"/>
  <c r="L19" i="8" s="1"/>
  <c r="I16" i="8"/>
  <c r="O16" i="8"/>
  <c r="F15" i="8"/>
  <c r="D15" i="8"/>
  <c r="E25" i="8"/>
  <c r="C15" i="8"/>
  <c r="K13" i="8"/>
  <c r="D12" i="8"/>
  <c r="O11" i="8"/>
  <c r="I96" i="6"/>
  <c r="I86" i="6"/>
  <c r="I80" i="6"/>
  <c r="I75" i="6"/>
  <c r="I70" i="6"/>
  <c r="I69" i="6"/>
  <c r="I59" i="6"/>
  <c r="I53" i="6"/>
  <c r="I46" i="6"/>
  <c r="I50" i="6"/>
  <c r="I44" i="6"/>
  <c r="I41" i="6"/>
  <c r="I13" i="6"/>
  <c r="I12" i="6"/>
  <c r="J64" i="8"/>
  <c r="G64" i="8" s="1"/>
  <c r="O41" i="8"/>
  <c r="J16" i="8"/>
  <c r="G16" i="8"/>
  <c r="K49" i="8"/>
  <c r="L49" i="8" s="1"/>
  <c r="K69" i="8"/>
  <c r="L69" i="8" s="1"/>
  <c r="J111" i="8"/>
  <c r="G111" i="8" s="1"/>
  <c r="H111" i="8" s="1"/>
  <c r="E44" i="8"/>
  <c r="E49" i="8"/>
  <c r="E69" i="8"/>
  <c r="E70" i="8"/>
  <c r="J93" i="8"/>
  <c r="G93" i="8"/>
  <c r="K96" i="8"/>
  <c r="L96" i="8"/>
  <c r="E111" i="8"/>
  <c r="K23" i="8"/>
  <c r="L23" i="8"/>
  <c r="K24" i="8"/>
  <c r="L24" i="8" s="1"/>
  <c r="K25" i="8"/>
  <c r="L25" i="8" s="1"/>
  <c r="K33" i="8"/>
  <c r="L33" i="8" s="1"/>
  <c r="K47" i="8"/>
  <c r="L47" i="8"/>
  <c r="K50" i="8"/>
  <c r="L50" i="8" s="1"/>
  <c r="H68" i="8"/>
  <c r="K16" i="8"/>
  <c r="L16" i="8"/>
  <c r="J23" i="8"/>
  <c r="G23" i="8" s="1"/>
  <c r="J24" i="8"/>
  <c r="G24" i="8"/>
  <c r="J25" i="8"/>
  <c r="G25" i="8"/>
  <c r="H25" i="8" s="1"/>
  <c r="J33" i="8"/>
  <c r="G33" i="8" s="1"/>
  <c r="J47" i="8"/>
  <c r="G47" i="8"/>
  <c r="E48" i="8"/>
  <c r="E82" i="8"/>
  <c r="H82" i="8" s="1"/>
  <c r="K93" i="8"/>
  <c r="L93" i="8"/>
  <c r="J112" i="8"/>
  <c r="G112" i="8"/>
  <c r="I90" i="8"/>
  <c r="O90" i="8" s="1"/>
  <c r="E47" i="8"/>
  <c r="E50" i="8"/>
  <c r="H50" i="8"/>
  <c r="J96" i="8"/>
  <c r="G96" i="8" s="1"/>
  <c r="K103" i="8"/>
  <c r="L103" i="8" s="1"/>
  <c r="I99" i="8"/>
  <c r="J103" i="8"/>
  <c r="G103" i="8"/>
  <c r="O82" i="8"/>
  <c r="K82" i="8"/>
  <c r="L82" i="8"/>
  <c r="J81" i="8"/>
  <c r="G81" i="8" s="1"/>
  <c r="O81" i="8"/>
  <c r="J70" i="8"/>
  <c r="G70" i="8" s="1"/>
  <c r="H70" i="8" s="1"/>
  <c r="K59" i="8"/>
  <c r="L59" i="8" s="1"/>
  <c r="K54" i="8"/>
  <c r="L54" i="8" s="1"/>
  <c r="J44" i="8"/>
  <c r="G44" i="8" s="1"/>
  <c r="H44" i="8" s="1"/>
  <c r="K38" i="8"/>
  <c r="L38" i="8"/>
  <c r="I36" i="8"/>
  <c r="J36" i="8" s="1"/>
  <c r="G36" i="8"/>
  <c r="K37" i="8"/>
  <c r="L37" i="8"/>
  <c r="J34" i="8"/>
  <c r="G34" i="8" s="1"/>
  <c r="H34" i="8" s="1"/>
  <c r="J32" i="8"/>
  <c r="G32" i="8" s="1"/>
  <c r="O32" i="8"/>
  <c r="O22" i="8"/>
  <c r="K20" i="8"/>
  <c r="L20" i="8"/>
  <c r="J20" i="8"/>
  <c r="G20" i="8" s="1"/>
  <c r="E96" i="8"/>
  <c r="O17" i="8"/>
  <c r="E30" i="8"/>
  <c r="H30" i="8"/>
  <c r="O75" i="8"/>
  <c r="O80" i="8"/>
  <c r="I12" i="8"/>
  <c r="I15" i="8"/>
  <c r="K15" i="8"/>
  <c r="L15" i="8" s="1"/>
  <c r="J17" i="8"/>
  <c r="E18" i="8"/>
  <c r="J18" i="8"/>
  <c r="G18" i="8" s="1"/>
  <c r="E19" i="8"/>
  <c r="J19" i="8"/>
  <c r="G19" i="8"/>
  <c r="E20" i="8"/>
  <c r="E29" i="8"/>
  <c r="E38" i="8"/>
  <c r="I40" i="8"/>
  <c r="K44" i="8"/>
  <c r="L44" i="8"/>
  <c r="E45" i="8"/>
  <c r="H45" i="8"/>
  <c r="J53" i="8"/>
  <c r="G53" i="8"/>
  <c r="I58" i="8"/>
  <c r="K58" i="8"/>
  <c r="L58" i="8" s="1"/>
  <c r="J61" i="8"/>
  <c r="G61" i="8" s="1"/>
  <c r="K64" i="8"/>
  <c r="L64" i="8"/>
  <c r="I67" i="8"/>
  <c r="K70" i="8"/>
  <c r="L70" i="8"/>
  <c r="J73" i="8"/>
  <c r="G73" i="8" s="1"/>
  <c r="J75" i="8"/>
  <c r="G75" i="8" s="1"/>
  <c r="E80" i="8"/>
  <c r="J80" i="8"/>
  <c r="G80" i="8" s="1"/>
  <c r="E94" i="8"/>
  <c r="E109" i="8"/>
  <c r="H109" i="8" s="1"/>
  <c r="O112" i="8"/>
  <c r="K107" i="8"/>
  <c r="L107" i="8" s="1"/>
  <c r="O18" i="8"/>
  <c r="O19" i="8"/>
  <c r="E31" i="8"/>
  <c r="J41" i="8"/>
  <c r="G41" i="8"/>
  <c r="J59" i="8"/>
  <c r="G59" i="8" s="1"/>
  <c r="H59" i="8" s="1"/>
  <c r="J69" i="8"/>
  <c r="G69" i="8" s="1"/>
  <c r="H69" i="8"/>
  <c r="E85" i="8"/>
  <c r="H85" i="8" s="1"/>
  <c r="E86" i="8"/>
  <c r="E107" i="8"/>
  <c r="J107" i="8"/>
  <c r="G107" i="8" s="1"/>
  <c r="E108" i="8"/>
  <c r="O73" i="8"/>
  <c r="E16" i="8"/>
  <c r="E17" i="8"/>
  <c r="H17" i="8"/>
  <c r="E22" i="8"/>
  <c r="E23" i="8"/>
  <c r="E24" i="8"/>
  <c r="E28" i="8"/>
  <c r="E32" i="8"/>
  <c r="E33" i="8"/>
  <c r="O111" i="6"/>
  <c r="K111" i="6"/>
  <c r="L111" i="6" s="1"/>
  <c r="J111" i="6"/>
  <c r="G111" i="6" s="1"/>
  <c r="O110" i="6"/>
  <c r="K110" i="6"/>
  <c r="L110" i="6" s="1"/>
  <c r="J110" i="6"/>
  <c r="G110" i="6"/>
  <c r="O109" i="6"/>
  <c r="K109" i="6"/>
  <c r="L109" i="6" s="1"/>
  <c r="J109" i="6"/>
  <c r="G109" i="6" s="1"/>
  <c r="K108" i="6"/>
  <c r="L108" i="6"/>
  <c r="J108" i="6"/>
  <c r="G108" i="6" s="1"/>
  <c r="K107" i="6"/>
  <c r="L107" i="6" s="1"/>
  <c r="J107" i="6"/>
  <c r="G107" i="6" s="1"/>
  <c r="H107" i="6" s="1"/>
  <c r="O106" i="6"/>
  <c r="K106" i="6"/>
  <c r="L106" i="6"/>
  <c r="J106" i="6"/>
  <c r="G106" i="6"/>
  <c r="I105" i="6"/>
  <c r="F105" i="6"/>
  <c r="D105" i="6"/>
  <c r="E106" i="6" s="1"/>
  <c r="H106" i="6" s="1"/>
  <c r="K103" i="6"/>
  <c r="L103" i="6"/>
  <c r="J103" i="6"/>
  <c r="G103" i="6"/>
  <c r="O102" i="6"/>
  <c r="K102" i="6"/>
  <c r="L102" i="6" s="1"/>
  <c r="J102" i="6"/>
  <c r="G102" i="6"/>
  <c r="K101" i="6"/>
  <c r="L101" i="6" s="1"/>
  <c r="J101" i="6"/>
  <c r="G101" i="6" s="1"/>
  <c r="O100" i="6"/>
  <c r="K100" i="6"/>
  <c r="L100" i="6" s="1"/>
  <c r="J100" i="6"/>
  <c r="G100" i="6"/>
  <c r="C100" i="6"/>
  <c r="O99" i="6"/>
  <c r="K99" i="6"/>
  <c r="L99" i="6"/>
  <c r="J99" i="6"/>
  <c r="G99" i="6" s="1"/>
  <c r="C99" i="6"/>
  <c r="I98" i="6"/>
  <c r="O98" i="6"/>
  <c r="F98" i="6"/>
  <c r="D98" i="6"/>
  <c r="E103" i="6"/>
  <c r="C98" i="6"/>
  <c r="O97" i="6"/>
  <c r="O96" i="6"/>
  <c r="K96" i="6"/>
  <c r="L96" i="6"/>
  <c r="J96" i="6"/>
  <c r="G96" i="6" s="1"/>
  <c r="H96" i="6" s="1"/>
  <c r="K95" i="6"/>
  <c r="L95" i="6" s="1"/>
  <c r="J95" i="6"/>
  <c r="G95" i="6"/>
  <c r="O94" i="6"/>
  <c r="K94" i="6"/>
  <c r="L94" i="6"/>
  <c r="J94" i="6"/>
  <c r="G94" i="6"/>
  <c r="H94" i="6" s="1"/>
  <c r="O93" i="6"/>
  <c r="K93" i="6"/>
  <c r="L93" i="6"/>
  <c r="J93" i="6"/>
  <c r="G93" i="6" s="1"/>
  <c r="H93" i="6" s="1"/>
  <c r="C93" i="6"/>
  <c r="K92" i="6"/>
  <c r="L92" i="6"/>
  <c r="J92" i="6"/>
  <c r="G92" i="6" s="1"/>
  <c r="H92" i="6" s="1"/>
  <c r="O91" i="6"/>
  <c r="K91" i="6"/>
  <c r="L91" i="6" s="1"/>
  <c r="J91" i="6"/>
  <c r="G91" i="6" s="1"/>
  <c r="C91" i="6"/>
  <c r="I90" i="6"/>
  <c r="F90" i="6"/>
  <c r="D90" i="6"/>
  <c r="E92" i="6"/>
  <c r="C90" i="6"/>
  <c r="K88" i="6"/>
  <c r="L88" i="6" s="1"/>
  <c r="J88" i="6"/>
  <c r="G88" i="6" s="1"/>
  <c r="K87" i="6"/>
  <c r="L87" i="6"/>
  <c r="J87" i="6"/>
  <c r="G87" i="6" s="1"/>
  <c r="O86" i="6"/>
  <c r="C86" i="6"/>
  <c r="O85" i="6"/>
  <c r="K85" i="6"/>
  <c r="L85" i="6" s="1"/>
  <c r="J85" i="6"/>
  <c r="G85" i="6"/>
  <c r="C85" i="6"/>
  <c r="O84" i="6"/>
  <c r="K84" i="6"/>
  <c r="L84" i="6"/>
  <c r="J84" i="6"/>
  <c r="G84" i="6" s="1"/>
  <c r="H84" i="6" s="1"/>
  <c r="C84" i="6"/>
  <c r="O83" i="6"/>
  <c r="K83" i="6"/>
  <c r="L83" i="6"/>
  <c r="J83" i="6"/>
  <c r="G83" i="6"/>
  <c r="C83" i="6"/>
  <c r="I82" i="6"/>
  <c r="J82" i="6"/>
  <c r="G82" i="6" s="1"/>
  <c r="C82" i="6"/>
  <c r="O81" i="6"/>
  <c r="K81" i="6"/>
  <c r="L81" i="6"/>
  <c r="J81" i="6"/>
  <c r="G81" i="6" s="1"/>
  <c r="C81" i="6"/>
  <c r="J80" i="6"/>
  <c r="G80" i="6"/>
  <c r="K80" i="6"/>
  <c r="L80" i="6" s="1"/>
  <c r="C80" i="6"/>
  <c r="K79" i="6"/>
  <c r="L79" i="6" s="1"/>
  <c r="J79" i="6"/>
  <c r="G79" i="6" s="1"/>
  <c r="O78" i="6"/>
  <c r="K78" i="6"/>
  <c r="L78" i="6" s="1"/>
  <c r="J78" i="6"/>
  <c r="G78" i="6" s="1"/>
  <c r="H78" i="6" s="1"/>
  <c r="C78" i="6"/>
  <c r="F77" i="6"/>
  <c r="D77" i="6"/>
  <c r="E82" i="6"/>
  <c r="C77" i="6"/>
  <c r="O76" i="6"/>
  <c r="J75" i="6"/>
  <c r="G75" i="6" s="1"/>
  <c r="H75" i="6" s="1"/>
  <c r="C75" i="6"/>
  <c r="I74" i="6"/>
  <c r="J74" i="6" s="1"/>
  <c r="G74" i="6" s="1"/>
  <c r="O73" i="6"/>
  <c r="K73" i="6"/>
  <c r="L73" i="6"/>
  <c r="J73" i="6"/>
  <c r="G73" i="6" s="1"/>
  <c r="C73" i="6"/>
  <c r="F72" i="6"/>
  <c r="D72" i="6"/>
  <c r="E75" i="6"/>
  <c r="C72" i="6"/>
  <c r="O71" i="6"/>
  <c r="O70" i="6"/>
  <c r="K70" i="6"/>
  <c r="L70" i="6"/>
  <c r="J70" i="6"/>
  <c r="G70" i="6"/>
  <c r="C70" i="6"/>
  <c r="C69" i="6"/>
  <c r="O68" i="6"/>
  <c r="K68" i="6"/>
  <c r="L68" i="6" s="1"/>
  <c r="J68" i="6"/>
  <c r="G68" i="6"/>
  <c r="C68" i="6"/>
  <c r="D67" i="6"/>
  <c r="E69" i="6" s="1"/>
  <c r="K65" i="6"/>
  <c r="L65" i="6"/>
  <c r="J65" i="6"/>
  <c r="G65" i="6"/>
  <c r="I64" i="6"/>
  <c r="F64" i="6"/>
  <c r="D64" i="6"/>
  <c r="J64" i="6" s="1"/>
  <c r="G64" i="6" s="1"/>
  <c r="K62" i="6"/>
  <c r="L62" i="6" s="1"/>
  <c r="J62" i="6"/>
  <c r="G62" i="6" s="1"/>
  <c r="I61" i="6"/>
  <c r="J61" i="6" s="1"/>
  <c r="G61" i="6" s="1"/>
  <c r="F61" i="6"/>
  <c r="D61" i="6"/>
  <c r="I58" i="6"/>
  <c r="C59" i="6"/>
  <c r="F58" i="6"/>
  <c r="D58" i="6"/>
  <c r="C58" i="6"/>
  <c r="O57" i="6"/>
  <c r="O56" i="6"/>
  <c r="K56" i="6"/>
  <c r="L56" i="6" s="1"/>
  <c r="J56" i="6"/>
  <c r="G56" i="6" s="1"/>
  <c r="C56" i="6"/>
  <c r="O55" i="6"/>
  <c r="K55" i="6"/>
  <c r="L55" i="6" s="1"/>
  <c r="J55" i="6"/>
  <c r="G55" i="6" s="1"/>
  <c r="C55" i="6"/>
  <c r="K54" i="6"/>
  <c r="L54" i="6"/>
  <c r="J54" i="6"/>
  <c r="G54" i="6"/>
  <c r="K53" i="6"/>
  <c r="L53" i="6"/>
  <c r="J53" i="6"/>
  <c r="G53" i="6"/>
  <c r="I52" i="6"/>
  <c r="O52" i="6"/>
  <c r="F52" i="6"/>
  <c r="D52" i="6"/>
  <c r="C52" i="6"/>
  <c r="O51" i="6"/>
  <c r="K50" i="6"/>
  <c r="L50" i="6"/>
  <c r="J50" i="6"/>
  <c r="G50" i="6"/>
  <c r="I49" i="6"/>
  <c r="K49" i="6"/>
  <c r="L49" i="6" s="1"/>
  <c r="I48" i="6"/>
  <c r="C48" i="6"/>
  <c r="O47" i="6"/>
  <c r="K47" i="6"/>
  <c r="L47" i="6"/>
  <c r="J47" i="6"/>
  <c r="G47" i="6"/>
  <c r="C47" i="6"/>
  <c r="O46" i="6"/>
  <c r="K46" i="6"/>
  <c r="L46" i="6" s="1"/>
  <c r="J46" i="6"/>
  <c r="G46" i="6"/>
  <c r="C46" i="6"/>
  <c r="O45" i="6"/>
  <c r="K45" i="6"/>
  <c r="L45" i="6" s="1"/>
  <c r="J45" i="6"/>
  <c r="G45" i="6" s="1"/>
  <c r="H45" i="6" s="1"/>
  <c r="C45" i="6"/>
  <c r="J44" i="6"/>
  <c r="G44" i="6" s="1"/>
  <c r="C44" i="6"/>
  <c r="F43" i="6"/>
  <c r="D43" i="6"/>
  <c r="C43" i="6"/>
  <c r="O42" i="6"/>
  <c r="C41" i="6"/>
  <c r="F40" i="6"/>
  <c r="D40" i="6"/>
  <c r="E41" i="6" s="1"/>
  <c r="C40" i="6"/>
  <c r="K38" i="6"/>
  <c r="L38" i="6"/>
  <c r="J38" i="6"/>
  <c r="G38" i="6"/>
  <c r="K37" i="6"/>
  <c r="L37" i="6"/>
  <c r="J37" i="6"/>
  <c r="G37" i="6"/>
  <c r="I36" i="6"/>
  <c r="D36" i="6"/>
  <c r="E37" i="6" s="1"/>
  <c r="O35" i="6"/>
  <c r="O34" i="6"/>
  <c r="K34" i="6"/>
  <c r="L34" i="6" s="1"/>
  <c r="J34" i="6"/>
  <c r="G34" i="6"/>
  <c r="I33" i="6"/>
  <c r="O33" i="6"/>
  <c r="I32" i="6"/>
  <c r="O32" i="6"/>
  <c r="O31" i="6"/>
  <c r="K31" i="6"/>
  <c r="L31" i="6"/>
  <c r="J31" i="6"/>
  <c r="G31" i="6"/>
  <c r="O30" i="6"/>
  <c r="K30" i="6"/>
  <c r="L30" i="6"/>
  <c r="J30" i="6"/>
  <c r="G30" i="6" s="1"/>
  <c r="O29" i="6"/>
  <c r="K29" i="6"/>
  <c r="L29" i="6"/>
  <c r="J29" i="6"/>
  <c r="G29" i="6" s="1"/>
  <c r="O28" i="6"/>
  <c r="K28" i="6"/>
  <c r="L28" i="6" s="1"/>
  <c r="J28" i="6"/>
  <c r="G28" i="6"/>
  <c r="F27" i="6"/>
  <c r="D27" i="6"/>
  <c r="C27" i="6"/>
  <c r="O26" i="6"/>
  <c r="I25" i="6"/>
  <c r="O25" i="6"/>
  <c r="I24" i="6"/>
  <c r="K24" i="6" s="1"/>
  <c r="L24" i="6" s="1"/>
  <c r="O24" i="6"/>
  <c r="I23" i="6"/>
  <c r="I22" i="6"/>
  <c r="O22" i="6"/>
  <c r="K21" i="6"/>
  <c r="L21" i="6"/>
  <c r="J21" i="6"/>
  <c r="G21" i="6"/>
  <c r="O20" i="6"/>
  <c r="K20" i="6"/>
  <c r="L20" i="6"/>
  <c r="J20" i="6"/>
  <c r="G20" i="6" s="1"/>
  <c r="H20" i="6" s="1"/>
  <c r="I19" i="6"/>
  <c r="J19" i="6"/>
  <c r="G19" i="6"/>
  <c r="I18" i="6"/>
  <c r="I17" i="6"/>
  <c r="J17" i="6" s="1"/>
  <c r="O16" i="6"/>
  <c r="K16" i="6"/>
  <c r="L16" i="6"/>
  <c r="J16" i="6"/>
  <c r="G16" i="6" s="1"/>
  <c r="F15" i="6"/>
  <c r="D15" i="6"/>
  <c r="E20" i="6" s="1"/>
  <c r="C15" i="6"/>
  <c r="J13" i="6"/>
  <c r="L13" i="6"/>
  <c r="L12" i="6" s="1"/>
  <c r="K13" i="6"/>
  <c r="D12" i="6"/>
  <c r="O11" i="6"/>
  <c r="I90" i="5"/>
  <c r="I73" i="5"/>
  <c r="I59" i="5"/>
  <c r="I58" i="5" s="1"/>
  <c r="I13" i="5"/>
  <c r="I79" i="5"/>
  <c r="I76" i="5" s="1"/>
  <c r="I86" i="5"/>
  <c r="I78" i="5"/>
  <c r="I50" i="5"/>
  <c r="I44" i="5"/>
  <c r="I41" i="5"/>
  <c r="I32" i="5"/>
  <c r="I25" i="5"/>
  <c r="I24" i="5"/>
  <c r="I23" i="5"/>
  <c r="I19" i="5"/>
  <c r="I18" i="5"/>
  <c r="I33" i="5"/>
  <c r="I22" i="5"/>
  <c r="I17" i="5"/>
  <c r="I48" i="5"/>
  <c r="I84" i="5"/>
  <c r="I81" i="5" s="1"/>
  <c r="H16" i="8"/>
  <c r="H96" i="8"/>
  <c r="K61" i="6"/>
  <c r="L61" i="6" s="1"/>
  <c r="H24" i="8"/>
  <c r="H19" i="8"/>
  <c r="K90" i="8"/>
  <c r="L90" i="8"/>
  <c r="H20" i="8"/>
  <c r="H47" i="8"/>
  <c r="K99" i="8"/>
  <c r="L99" i="8"/>
  <c r="J99" i="8"/>
  <c r="G99" i="8"/>
  <c r="O99" i="8"/>
  <c r="K36" i="8"/>
  <c r="L36" i="8"/>
  <c r="H32" i="8"/>
  <c r="K12" i="8"/>
  <c r="O12" i="8"/>
  <c r="J12" i="8"/>
  <c r="G12" i="8"/>
  <c r="J67" i="8"/>
  <c r="G67" i="8" s="1"/>
  <c r="K67" i="8"/>
  <c r="L67" i="8"/>
  <c r="O67" i="8"/>
  <c r="J58" i="8"/>
  <c r="G58" i="8" s="1"/>
  <c r="O58" i="8"/>
  <c r="J40" i="8"/>
  <c r="G40" i="8" s="1"/>
  <c r="O40" i="8"/>
  <c r="J15" i="8"/>
  <c r="G15" i="8"/>
  <c r="O15" i="8"/>
  <c r="H107" i="8"/>
  <c r="H18" i="8"/>
  <c r="K22" i="6"/>
  <c r="L22" i="6"/>
  <c r="J25" i="6"/>
  <c r="G25" i="6"/>
  <c r="E88" i="6"/>
  <c r="H88" i="6"/>
  <c r="E101" i="6"/>
  <c r="H101" i="6"/>
  <c r="J22" i="6"/>
  <c r="G22" i="6"/>
  <c r="K25" i="6"/>
  <c r="L25" i="6" s="1"/>
  <c r="K41" i="6"/>
  <c r="L41" i="6"/>
  <c r="I77" i="6"/>
  <c r="J77" i="6"/>
  <c r="G77" i="6"/>
  <c r="H82" i="6"/>
  <c r="J98" i="6"/>
  <c r="G98" i="6"/>
  <c r="E16" i="6"/>
  <c r="H16" i="6"/>
  <c r="K32" i="6"/>
  <c r="L32" i="6" s="1"/>
  <c r="J49" i="6"/>
  <c r="G49" i="6" s="1"/>
  <c r="H49" i="6" s="1"/>
  <c r="E62" i="6"/>
  <c r="H62" i="6"/>
  <c r="I72" i="6"/>
  <c r="J72" i="6" s="1"/>
  <c r="G72" i="6" s="1"/>
  <c r="E80" i="6"/>
  <c r="H80" i="6"/>
  <c r="K86" i="6"/>
  <c r="L86" i="6" s="1"/>
  <c r="J90" i="6"/>
  <c r="G90" i="6"/>
  <c r="E96" i="6"/>
  <c r="J24" i="6"/>
  <c r="G24" i="6"/>
  <c r="I27" i="6"/>
  <c r="J32" i="6"/>
  <c r="G32" i="6"/>
  <c r="K44" i="6"/>
  <c r="L44" i="6"/>
  <c r="K59" i="6"/>
  <c r="L59" i="6"/>
  <c r="J86" i="6"/>
  <c r="G86" i="6" s="1"/>
  <c r="H86" i="6" s="1"/>
  <c r="E93" i="6"/>
  <c r="J105" i="6"/>
  <c r="G105" i="6"/>
  <c r="H103" i="6"/>
  <c r="O58" i="6"/>
  <c r="J58" i="6"/>
  <c r="G58" i="6"/>
  <c r="E47" i="6"/>
  <c r="H47" i="6"/>
  <c r="E54" i="6"/>
  <c r="H54" i="6" s="1"/>
  <c r="O90" i="6"/>
  <c r="E44" i="6"/>
  <c r="H44" i="6"/>
  <c r="O48" i="6"/>
  <c r="E50" i="6"/>
  <c r="H50" i="6"/>
  <c r="E56" i="6"/>
  <c r="H56" i="6" s="1"/>
  <c r="K58" i="6"/>
  <c r="L58" i="6"/>
  <c r="E59" i="6"/>
  <c r="H59" i="6" s="1"/>
  <c r="J59" i="6"/>
  <c r="G59" i="6"/>
  <c r="I67" i="6"/>
  <c r="O67" i="6" s="1"/>
  <c r="O80" i="6"/>
  <c r="E94" i="6"/>
  <c r="O105" i="6"/>
  <c r="E107" i="6"/>
  <c r="E109" i="6"/>
  <c r="H109" i="6"/>
  <c r="O19" i="6"/>
  <c r="E45" i="6"/>
  <c r="E46" i="6"/>
  <c r="H46" i="6"/>
  <c r="O69" i="6"/>
  <c r="O75" i="6"/>
  <c r="K19" i="6"/>
  <c r="L19" i="6" s="1"/>
  <c r="E23" i="6"/>
  <c r="E25" i="6"/>
  <c r="H25" i="6"/>
  <c r="E28" i="6"/>
  <c r="O44" i="6"/>
  <c r="O59" i="6"/>
  <c r="E70" i="6"/>
  <c r="H70" i="6" s="1"/>
  <c r="E73" i="6"/>
  <c r="H73" i="6"/>
  <c r="K74" i="6"/>
  <c r="L74" i="6"/>
  <c r="K75" i="6"/>
  <c r="L75" i="6"/>
  <c r="E78" i="6"/>
  <c r="K82" i="6"/>
  <c r="L82" i="6"/>
  <c r="E83" i="6"/>
  <c r="H83" i="6"/>
  <c r="E84" i="6"/>
  <c r="E85" i="6"/>
  <c r="H85" i="6" s="1"/>
  <c r="E86" i="6"/>
  <c r="E87" i="6"/>
  <c r="H87" i="6"/>
  <c r="K90" i="6"/>
  <c r="L90" i="6" s="1"/>
  <c r="E91" i="6"/>
  <c r="H91" i="6"/>
  <c r="E95" i="6"/>
  <c r="H95" i="6"/>
  <c r="E110" i="6"/>
  <c r="H110" i="6"/>
  <c r="E48" i="6"/>
  <c r="E49" i="6"/>
  <c r="O82" i="6"/>
  <c r="E19" i="6"/>
  <c r="H19" i="6"/>
  <c r="E68" i="6"/>
  <c r="E74" i="6"/>
  <c r="H74" i="6"/>
  <c r="E79" i="6"/>
  <c r="H79" i="6"/>
  <c r="E81" i="6"/>
  <c r="H81" i="6"/>
  <c r="E102" i="6"/>
  <c r="H102" i="6" s="1"/>
  <c r="K105" i="6"/>
  <c r="L105" i="6"/>
  <c r="E108" i="6"/>
  <c r="H108" i="6"/>
  <c r="E111" i="6"/>
  <c r="H111" i="6"/>
  <c r="K98" i="6"/>
  <c r="L98" i="6" s="1"/>
  <c r="E99" i="6"/>
  <c r="H99" i="6"/>
  <c r="E100" i="6"/>
  <c r="H100" i="6"/>
  <c r="I49" i="5"/>
  <c r="K49" i="5" s="1"/>
  <c r="J115" i="5"/>
  <c r="O77" i="6"/>
  <c r="K77" i="6"/>
  <c r="L77" i="6"/>
  <c r="K12" i="6"/>
  <c r="L63" i="5"/>
  <c r="K66" i="5"/>
  <c r="L66" i="5" s="1"/>
  <c r="J66" i="5"/>
  <c r="G66" i="5"/>
  <c r="G115" i="5"/>
  <c r="F65" i="5"/>
  <c r="I65" i="5"/>
  <c r="I109" i="5"/>
  <c r="I102" i="5"/>
  <c r="I94" i="5"/>
  <c r="I71" i="5"/>
  <c r="I68" i="5"/>
  <c r="J68" i="5" s="1"/>
  <c r="G68" i="5" s="1"/>
  <c r="I52" i="5"/>
  <c r="I40" i="5"/>
  <c r="I36" i="5"/>
  <c r="I27" i="5"/>
  <c r="D65" i="5"/>
  <c r="D109" i="5"/>
  <c r="E114" i="5" s="1"/>
  <c r="H114" i="5" s="1"/>
  <c r="D68" i="5"/>
  <c r="E69" i="5"/>
  <c r="K115" i="5"/>
  <c r="L115" i="5" s="1"/>
  <c r="J112" i="5"/>
  <c r="G112" i="5"/>
  <c r="K112" i="5"/>
  <c r="L112" i="5" s="1"/>
  <c r="J111" i="5"/>
  <c r="G111" i="5"/>
  <c r="K111" i="5"/>
  <c r="L111" i="5" s="1"/>
  <c r="J96" i="5"/>
  <c r="G96" i="5"/>
  <c r="K96" i="5"/>
  <c r="L96" i="5"/>
  <c r="J78" i="5"/>
  <c r="G78" i="5"/>
  <c r="K78" i="5"/>
  <c r="L78" i="5" s="1"/>
  <c r="J16" i="5"/>
  <c r="K16" i="5"/>
  <c r="L16" i="5" s="1"/>
  <c r="J17" i="5"/>
  <c r="K17" i="5"/>
  <c r="L17" i="5" s="1"/>
  <c r="J18" i="5"/>
  <c r="K18" i="5"/>
  <c r="L18" i="5"/>
  <c r="J19" i="5"/>
  <c r="K19" i="5"/>
  <c r="L19" i="5"/>
  <c r="J20" i="5"/>
  <c r="K20" i="5"/>
  <c r="L20" i="5"/>
  <c r="J21" i="5"/>
  <c r="K21" i="5"/>
  <c r="L21" i="5" s="1"/>
  <c r="J22" i="5"/>
  <c r="K22" i="5"/>
  <c r="L22" i="5"/>
  <c r="J23" i="5"/>
  <c r="K23" i="5"/>
  <c r="L23" i="5"/>
  <c r="J24" i="5"/>
  <c r="K24" i="5"/>
  <c r="L24" i="5" s="1"/>
  <c r="J28" i="5"/>
  <c r="K28" i="5"/>
  <c r="L28" i="5"/>
  <c r="J29" i="5"/>
  <c r="K29" i="5"/>
  <c r="L29" i="5"/>
  <c r="J30" i="5"/>
  <c r="K30" i="5"/>
  <c r="L30" i="5"/>
  <c r="J31" i="5"/>
  <c r="K31" i="5"/>
  <c r="L31" i="5" s="1"/>
  <c r="J32" i="5"/>
  <c r="K32" i="5"/>
  <c r="L32" i="5"/>
  <c r="J33" i="5"/>
  <c r="K33" i="5"/>
  <c r="L33" i="5"/>
  <c r="J34" i="5"/>
  <c r="G34" i="5" s="1"/>
  <c r="K34" i="5"/>
  <c r="L34" i="5" s="1"/>
  <c r="D12" i="5"/>
  <c r="H63" i="5"/>
  <c r="J69" i="5"/>
  <c r="G69" i="5"/>
  <c r="H69" i="5"/>
  <c r="E115" i="5"/>
  <c r="J50" i="5"/>
  <c r="G50" i="5" s="1"/>
  <c r="D81" i="5"/>
  <c r="K50" i="5"/>
  <c r="L50" i="5"/>
  <c r="D43" i="5"/>
  <c r="E45" i="5"/>
  <c r="E49" i="5"/>
  <c r="E50" i="5"/>
  <c r="O16" i="5"/>
  <c r="O17" i="5"/>
  <c r="O23" i="5"/>
  <c r="O32" i="5"/>
  <c r="K106" i="5"/>
  <c r="L106" i="5"/>
  <c r="J110" i="5"/>
  <c r="G110" i="5" s="1"/>
  <c r="O115" i="5"/>
  <c r="O114" i="5"/>
  <c r="K114" i="5"/>
  <c r="L114" i="5"/>
  <c r="J114" i="5"/>
  <c r="G114" i="5"/>
  <c r="O113" i="5"/>
  <c r="K113" i="5"/>
  <c r="L113" i="5"/>
  <c r="J113" i="5"/>
  <c r="G113" i="5" s="1"/>
  <c r="F109" i="5"/>
  <c r="K107" i="5"/>
  <c r="L107" i="5"/>
  <c r="J107" i="5"/>
  <c r="G107" i="5"/>
  <c r="K105" i="5"/>
  <c r="L105" i="5" s="1"/>
  <c r="J105" i="5"/>
  <c r="G105" i="5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F3" i="2"/>
  <c r="P112" i="1"/>
  <c r="P111" i="1"/>
  <c r="K111" i="1"/>
  <c r="L111" i="1"/>
  <c r="J111" i="1"/>
  <c r="G111" i="1" s="1"/>
  <c r="P110" i="1"/>
  <c r="K110" i="1"/>
  <c r="L110" i="1" s="1"/>
  <c r="J110" i="1"/>
  <c r="G110" i="1" s="1"/>
  <c r="P109" i="1"/>
  <c r="K109" i="1"/>
  <c r="L109" i="1" s="1"/>
  <c r="J109" i="1"/>
  <c r="G109" i="1"/>
  <c r="H109" i="1" s="1"/>
  <c r="I108" i="1"/>
  <c r="P108" i="1"/>
  <c r="F108" i="1"/>
  <c r="D108" i="1"/>
  <c r="K106" i="1"/>
  <c r="L106" i="1" s="1"/>
  <c r="J106" i="1"/>
  <c r="G106" i="1"/>
  <c r="E106" i="1"/>
  <c r="H106" i="1" s="1"/>
  <c r="P105" i="1"/>
  <c r="K105" i="1"/>
  <c r="L105" i="1"/>
  <c r="J105" i="1"/>
  <c r="G105" i="1" s="1"/>
  <c r="K104" i="1"/>
  <c r="L104" i="1"/>
  <c r="J104" i="1"/>
  <c r="G104" i="1"/>
  <c r="I103" i="1"/>
  <c r="P103" i="1"/>
  <c r="C103" i="1"/>
  <c r="I102" i="1"/>
  <c r="P102" i="1"/>
  <c r="C102" i="1"/>
  <c r="F101" i="1"/>
  <c r="D101" i="1"/>
  <c r="C101" i="1"/>
  <c r="P100" i="1"/>
  <c r="P99" i="1"/>
  <c r="K99" i="1"/>
  <c r="L99" i="1"/>
  <c r="J99" i="1"/>
  <c r="G99" i="1"/>
  <c r="K98" i="1"/>
  <c r="L98" i="1"/>
  <c r="J98" i="1"/>
  <c r="G98" i="1" s="1"/>
  <c r="P97" i="1"/>
  <c r="K97" i="1"/>
  <c r="L97" i="1" s="1"/>
  <c r="J97" i="1"/>
  <c r="G97" i="1" s="1"/>
  <c r="K96" i="1"/>
  <c r="L96" i="1"/>
  <c r="J96" i="1"/>
  <c r="G96" i="1"/>
  <c r="E96" i="1"/>
  <c r="P95" i="1"/>
  <c r="K95" i="1"/>
  <c r="L95" i="1" s="1"/>
  <c r="J95" i="1"/>
  <c r="G95" i="1"/>
  <c r="C95" i="1"/>
  <c r="P94" i="1"/>
  <c r="K94" i="1"/>
  <c r="L94" i="1" s="1"/>
  <c r="J94" i="1"/>
  <c r="G94" i="1" s="1"/>
  <c r="C94" i="1"/>
  <c r="I93" i="1"/>
  <c r="P93" i="1" s="1"/>
  <c r="F93" i="1"/>
  <c r="D93" i="1"/>
  <c r="C93" i="1"/>
  <c r="P92" i="1"/>
  <c r="K91" i="1"/>
  <c r="L91" i="1"/>
  <c r="J91" i="1"/>
  <c r="G91" i="1"/>
  <c r="K90" i="1"/>
  <c r="L90" i="1" s="1"/>
  <c r="J90" i="1"/>
  <c r="G90" i="1" s="1"/>
  <c r="H90" i="1" s="1"/>
  <c r="I89" i="1"/>
  <c r="P89" i="1"/>
  <c r="C89" i="1"/>
  <c r="P88" i="1"/>
  <c r="K88" i="1"/>
  <c r="L88" i="1"/>
  <c r="J88" i="1"/>
  <c r="G88" i="1" s="1"/>
  <c r="C88" i="1"/>
  <c r="P87" i="1"/>
  <c r="K87" i="1"/>
  <c r="L87" i="1"/>
  <c r="J87" i="1"/>
  <c r="G87" i="1"/>
  <c r="C87" i="1"/>
  <c r="P86" i="1"/>
  <c r="K86" i="1"/>
  <c r="L86" i="1"/>
  <c r="J86" i="1"/>
  <c r="G86" i="1"/>
  <c r="C86" i="1"/>
  <c r="I85" i="1"/>
  <c r="J85" i="1"/>
  <c r="G85" i="1" s="1"/>
  <c r="H85" i="1" s="1"/>
  <c r="C85" i="1"/>
  <c r="I84" i="1"/>
  <c r="P84" i="1" s="1"/>
  <c r="C84" i="1"/>
  <c r="I83" i="1"/>
  <c r="P83" i="1" s="1"/>
  <c r="C83" i="1"/>
  <c r="K82" i="1"/>
  <c r="L82" i="1"/>
  <c r="J82" i="1"/>
  <c r="G82" i="1" s="1"/>
  <c r="I81" i="1"/>
  <c r="P81" i="1"/>
  <c r="C81" i="1"/>
  <c r="F80" i="1"/>
  <c r="D80" i="1"/>
  <c r="E85" i="1" s="1"/>
  <c r="C80" i="1"/>
  <c r="P79" i="1"/>
  <c r="I78" i="1"/>
  <c r="P78" i="1" s="1"/>
  <c r="C78" i="1"/>
  <c r="I77" i="1"/>
  <c r="P77" i="1"/>
  <c r="C77" i="1"/>
  <c r="F76" i="1"/>
  <c r="D76" i="1"/>
  <c r="E78" i="1"/>
  <c r="C76" i="1"/>
  <c r="P75" i="1"/>
  <c r="I74" i="1"/>
  <c r="J74" i="1"/>
  <c r="G74" i="1" s="1"/>
  <c r="C74" i="1"/>
  <c r="P73" i="1"/>
  <c r="K73" i="1"/>
  <c r="L73" i="1" s="1"/>
  <c r="J73" i="1"/>
  <c r="G73" i="1"/>
  <c r="C73" i="1"/>
  <c r="P72" i="1"/>
  <c r="K72" i="1"/>
  <c r="L72" i="1"/>
  <c r="J72" i="1"/>
  <c r="G72" i="1"/>
  <c r="C72" i="1"/>
  <c r="D71" i="1"/>
  <c r="E74" i="1"/>
  <c r="K69" i="1"/>
  <c r="L69" i="1"/>
  <c r="J69" i="1"/>
  <c r="G69" i="1" s="1"/>
  <c r="H69" i="1" s="1"/>
  <c r="I68" i="1"/>
  <c r="F68" i="1"/>
  <c r="D68" i="1"/>
  <c r="K66" i="1"/>
  <c r="L66" i="1"/>
  <c r="G66" i="1"/>
  <c r="H66" i="1" s="1"/>
  <c r="K65" i="1"/>
  <c r="L65" i="1"/>
  <c r="G65" i="1"/>
  <c r="G64" i="1"/>
  <c r="D64" i="1"/>
  <c r="K64" i="1" s="1"/>
  <c r="L64" i="1" s="1"/>
  <c r="I62" i="1"/>
  <c r="J62" i="1"/>
  <c r="G62" i="1"/>
  <c r="H62" i="1" s="1"/>
  <c r="C62" i="1"/>
  <c r="F61" i="1"/>
  <c r="D61" i="1"/>
  <c r="C61" i="1"/>
  <c r="P60" i="1"/>
  <c r="P59" i="1"/>
  <c r="K59" i="1"/>
  <c r="L59" i="1" s="1"/>
  <c r="J59" i="1"/>
  <c r="G59" i="1"/>
  <c r="C59" i="1"/>
  <c r="I58" i="1"/>
  <c r="J58" i="1"/>
  <c r="G58" i="1" s="1"/>
  <c r="H58" i="1" s="1"/>
  <c r="C58" i="1"/>
  <c r="K57" i="1"/>
  <c r="L57" i="1"/>
  <c r="J57" i="1"/>
  <c r="G57" i="1" s="1"/>
  <c r="K56" i="1"/>
  <c r="L56" i="1"/>
  <c r="J56" i="1"/>
  <c r="G56" i="1" s="1"/>
  <c r="F55" i="1"/>
  <c r="D55" i="1"/>
  <c r="E58" i="1"/>
  <c r="C55" i="1"/>
  <c r="P54" i="1"/>
  <c r="K53" i="1"/>
  <c r="L53" i="1" s="1"/>
  <c r="J53" i="1"/>
  <c r="G53" i="1" s="1"/>
  <c r="E53" i="1"/>
  <c r="P52" i="1"/>
  <c r="K52" i="1"/>
  <c r="L52" i="1"/>
  <c r="J52" i="1"/>
  <c r="G52" i="1" s="1"/>
  <c r="I51" i="1"/>
  <c r="P51" i="1" s="1"/>
  <c r="C51" i="1"/>
  <c r="P50" i="1"/>
  <c r="K50" i="1"/>
  <c r="L50" i="1"/>
  <c r="J50" i="1"/>
  <c r="G50" i="1"/>
  <c r="C50" i="1"/>
  <c r="P49" i="1"/>
  <c r="K49" i="1"/>
  <c r="L49" i="1"/>
  <c r="J49" i="1"/>
  <c r="G49" i="1"/>
  <c r="C49" i="1"/>
  <c r="P48" i="1"/>
  <c r="K48" i="1"/>
  <c r="L48" i="1" s="1"/>
  <c r="J48" i="1"/>
  <c r="G48" i="1" s="1"/>
  <c r="H48" i="1" s="1"/>
  <c r="C48" i="1"/>
  <c r="I47" i="1"/>
  <c r="P47" i="1"/>
  <c r="C47" i="1"/>
  <c r="F46" i="1"/>
  <c r="D46" i="1"/>
  <c r="E52" i="1"/>
  <c r="C46" i="1"/>
  <c r="P45" i="1"/>
  <c r="I44" i="1"/>
  <c r="J44" i="1"/>
  <c r="G44" i="1" s="1"/>
  <c r="H44" i="1"/>
  <c r="C44" i="1"/>
  <c r="F43" i="1"/>
  <c r="D43" i="1"/>
  <c r="C43" i="1"/>
  <c r="K41" i="1"/>
  <c r="L41" i="1"/>
  <c r="J41" i="1"/>
  <c r="G41" i="1"/>
  <c r="K40" i="1"/>
  <c r="L40" i="1"/>
  <c r="J40" i="1"/>
  <c r="G40" i="1" s="1"/>
  <c r="G39" i="1"/>
  <c r="D39" i="1"/>
  <c r="E40" i="1"/>
  <c r="P38" i="1"/>
  <c r="P37" i="1"/>
  <c r="K37" i="1"/>
  <c r="L37" i="1" s="1"/>
  <c r="J37" i="1"/>
  <c r="G37" i="1"/>
  <c r="I36" i="1"/>
  <c r="K36" i="1"/>
  <c r="L36" i="1" s="1"/>
  <c r="I35" i="1"/>
  <c r="K35" i="1"/>
  <c r="L35" i="1" s="1"/>
  <c r="I34" i="1"/>
  <c r="K34" i="1" s="1"/>
  <c r="L34" i="1" s="1"/>
  <c r="I33" i="1"/>
  <c r="K33" i="1" s="1"/>
  <c r="L33" i="1"/>
  <c r="P32" i="1"/>
  <c r="K32" i="1"/>
  <c r="L32" i="1" s="1"/>
  <c r="J32" i="1"/>
  <c r="G32" i="1" s="1"/>
  <c r="H32" i="1" s="1"/>
  <c r="P31" i="1"/>
  <c r="K31" i="1"/>
  <c r="L31" i="1"/>
  <c r="J31" i="1"/>
  <c r="G31" i="1" s="1"/>
  <c r="I30" i="1"/>
  <c r="J30" i="1" s="1"/>
  <c r="G30" i="1"/>
  <c r="H30" i="1" s="1"/>
  <c r="F29" i="1"/>
  <c r="D29" i="1"/>
  <c r="E32" i="1"/>
  <c r="C29" i="1"/>
  <c r="P28" i="1"/>
  <c r="I27" i="1"/>
  <c r="P27" i="1"/>
  <c r="I26" i="1"/>
  <c r="P26" i="1" s="1"/>
  <c r="I25" i="1"/>
  <c r="K25" i="1" s="1"/>
  <c r="L25" i="1" s="1"/>
  <c r="I24" i="1"/>
  <c r="K24" i="1"/>
  <c r="L24" i="1"/>
  <c r="K23" i="1"/>
  <c r="L23" i="1" s="1"/>
  <c r="J23" i="1"/>
  <c r="G23" i="1" s="1"/>
  <c r="P22" i="1"/>
  <c r="K22" i="1"/>
  <c r="L22" i="1"/>
  <c r="J22" i="1"/>
  <c r="G22" i="1"/>
  <c r="H22" i="1" s="1"/>
  <c r="I21" i="1"/>
  <c r="P21" i="1"/>
  <c r="I20" i="1"/>
  <c r="P20" i="1" s="1"/>
  <c r="I19" i="1"/>
  <c r="P19" i="1" s="1"/>
  <c r="P18" i="1"/>
  <c r="K18" i="1"/>
  <c r="L18" i="1" s="1"/>
  <c r="J18" i="1"/>
  <c r="G18" i="1" s="1"/>
  <c r="H18" i="1" s="1"/>
  <c r="F17" i="1"/>
  <c r="D17" i="1"/>
  <c r="E18" i="1" s="1"/>
  <c r="C17" i="1"/>
  <c r="P15" i="1"/>
  <c r="K15" i="1"/>
  <c r="I14" i="1"/>
  <c r="I13" i="1"/>
  <c r="P13" i="1" s="1"/>
  <c r="D14" i="1"/>
  <c r="F13" i="1"/>
  <c r="F11" i="1" s="1"/>
  <c r="P12" i="1"/>
  <c r="O110" i="5"/>
  <c r="K110" i="5"/>
  <c r="L110" i="5" s="1"/>
  <c r="O109" i="5"/>
  <c r="O106" i="5"/>
  <c r="J106" i="5"/>
  <c r="G106" i="5" s="1"/>
  <c r="H106" i="5" s="1"/>
  <c r="O104" i="5"/>
  <c r="K104" i="5"/>
  <c r="L104" i="5"/>
  <c r="J104" i="5"/>
  <c r="G104" i="5"/>
  <c r="C104" i="5"/>
  <c r="C103" i="5"/>
  <c r="F102" i="5"/>
  <c r="D102" i="5"/>
  <c r="C102" i="5"/>
  <c r="O101" i="5"/>
  <c r="O100" i="5"/>
  <c r="K100" i="5"/>
  <c r="L100" i="5" s="1"/>
  <c r="J100" i="5"/>
  <c r="G100" i="5" s="1"/>
  <c r="H100" i="5" s="1"/>
  <c r="K99" i="5"/>
  <c r="L99" i="5"/>
  <c r="J99" i="5"/>
  <c r="G99" i="5" s="1"/>
  <c r="O98" i="5"/>
  <c r="K98" i="5"/>
  <c r="L98" i="5" s="1"/>
  <c r="J98" i="5"/>
  <c r="G98" i="5"/>
  <c r="O97" i="5"/>
  <c r="K97" i="5"/>
  <c r="L97" i="5" s="1"/>
  <c r="J97" i="5"/>
  <c r="G97" i="5" s="1"/>
  <c r="H97" i="5" s="1"/>
  <c r="C97" i="5"/>
  <c r="O95" i="5"/>
  <c r="K95" i="5"/>
  <c r="L95" i="5"/>
  <c r="J95" i="5"/>
  <c r="G95" i="5" s="1"/>
  <c r="C95" i="5"/>
  <c r="F94" i="5"/>
  <c r="D94" i="5"/>
  <c r="E96" i="5" s="1"/>
  <c r="C94" i="5"/>
  <c r="K92" i="5"/>
  <c r="L92" i="5"/>
  <c r="J92" i="5"/>
  <c r="G92" i="5" s="1"/>
  <c r="H92" i="5" s="1"/>
  <c r="K91" i="5"/>
  <c r="L91" i="5" s="1"/>
  <c r="J91" i="5"/>
  <c r="G91" i="5" s="1"/>
  <c r="H91" i="5" s="1"/>
  <c r="O90" i="5"/>
  <c r="K90" i="5"/>
  <c r="L90" i="5"/>
  <c r="J90" i="5"/>
  <c r="G90" i="5"/>
  <c r="C90" i="5"/>
  <c r="O89" i="5"/>
  <c r="K89" i="5"/>
  <c r="L89" i="5"/>
  <c r="J89" i="5"/>
  <c r="G89" i="5"/>
  <c r="C89" i="5"/>
  <c r="O88" i="5"/>
  <c r="K88" i="5"/>
  <c r="L88" i="5" s="1"/>
  <c r="J88" i="5"/>
  <c r="G88" i="5"/>
  <c r="C88" i="5"/>
  <c r="O87" i="5"/>
  <c r="K87" i="5"/>
  <c r="L87" i="5"/>
  <c r="J87" i="5"/>
  <c r="G87" i="5" s="1"/>
  <c r="C87" i="5"/>
  <c r="K86" i="5"/>
  <c r="L86" i="5"/>
  <c r="J86" i="5"/>
  <c r="G86" i="5" s="1"/>
  <c r="H86" i="5" s="1"/>
  <c r="O86" i="5"/>
  <c r="C86" i="5"/>
  <c r="K85" i="5"/>
  <c r="L85" i="5" s="1"/>
  <c r="O85" i="5"/>
  <c r="C85" i="5"/>
  <c r="O84" i="5"/>
  <c r="K84" i="5"/>
  <c r="L84" i="5"/>
  <c r="J84" i="5"/>
  <c r="G84" i="5" s="1"/>
  <c r="H84" i="5" s="1"/>
  <c r="C84" i="5"/>
  <c r="K83" i="5"/>
  <c r="L83" i="5"/>
  <c r="J83" i="5"/>
  <c r="G83" i="5" s="1"/>
  <c r="O82" i="5"/>
  <c r="K82" i="5"/>
  <c r="L82" i="5" s="1"/>
  <c r="J82" i="5"/>
  <c r="G82" i="5"/>
  <c r="C82" i="5"/>
  <c r="O81" i="5"/>
  <c r="F81" i="5"/>
  <c r="E91" i="5"/>
  <c r="C81" i="5"/>
  <c r="O80" i="5"/>
  <c r="O79" i="5"/>
  <c r="K79" i="5"/>
  <c r="L79" i="5"/>
  <c r="J79" i="5"/>
  <c r="G79" i="5" s="1"/>
  <c r="C79" i="5"/>
  <c r="O77" i="5"/>
  <c r="K77" i="5"/>
  <c r="L77" i="5" s="1"/>
  <c r="J77" i="5"/>
  <c r="G77" i="5"/>
  <c r="C77" i="5"/>
  <c r="O76" i="5"/>
  <c r="F76" i="5"/>
  <c r="D76" i="5"/>
  <c r="E77" i="5" s="1"/>
  <c r="H77" i="5" s="1"/>
  <c r="C76" i="5"/>
  <c r="O75" i="5"/>
  <c r="O74" i="5"/>
  <c r="K74" i="5"/>
  <c r="L74" i="5"/>
  <c r="J74" i="5"/>
  <c r="G74" i="5"/>
  <c r="C74" i="5"/>
  <c r="O73" i="5"/>
  <c r="K73" i="5"/>
  <c r="L73" i="5"/>
  <c r="J73" i="5"/>
  <c r="G73" i="5"/>
  <c r="C73" i="5"/>
  <c r="O72" i="5"/>
  <c r="K72" i="5"/>
  <c r="L72" i="5" s="1"/>
  <c r="J72" i="5"/>
  <c r="G72" i="5"/>
  <c r="C72" i="5"/>
  <c r="D71" i="5"/>
  <c r="K69" i="5"/>
  <c r="L69" i="5" s="1"/>
  <c r="F68" i="5"/>
  <c r="K62" i="5"/>
  <c r="L62" i="5"/>
  <c r="G62" i="5"/>
  <c r="K61" i="5"/>
  <c r="L61" i="5" s="1"/>
  <c r="G61" i="5"/>
  <c r="G60" i="5"/>
  <c r="D60" i="5"/>
  <c r="E62" i="5"/>
  <c r="O59" i="5"/>
  <c r="K59" i="5"/>
  <c r="L59" i="5"/>
  <c r="J59" i="5"/>
  <c r="G59" i="5" s="1"/>
  <c r="H59" i="5" s="1"/>
  <c r="C59" i="5"/>
  <c r="F58" i="5"/>
  <c r="D58" i="5"/>
  <c r="E59" i="5"/>
  <c r="C58" i="5"/>
  <c r="O57" i="5"/>
  <c r="O56" i="5"/>
  <c r="K56" i="5"/>
  <c r="L56" i="5" s="1"/>
  <c r="J56" i="5"/>
  <c r="G56" i="5"/>
  <c r="C56" i="5"/>
  <c r="O55" i="5"/>
  <c r="K55" i="5"/>
  <c r="L55" i="5" s="1"/>
  <c r="J55" i="5"/>
  <c r="G55" i="5" s="1"/>
  <c r="C55" i="5"/>
  <c r="K54" i="5"/>
  <c r="L54" i="5"/>
  <c r="J54" i="5"/>
  <c r="G54" i="5"/>
  <c r="H54" i="5" s="1"/>
  <c r="K53" i="5"/>
  <c r="L53" i="5" s="1"/>
  <c r="J53" i="5"/>
  <c r="G53" i="5"/>
  <c r="F52" i="5"/>
  <c r="D52" i="5"/>
  <c r="C52" i="5"/>
  <c r="O51" i="5"/>
  <c r="L49" i="5"/>
  <c r="J49" i="5"/>
  <c r="G49" i="5"/>
  <c r="K48" i="5"/>
  <c r="L48" i="5" s="1"/>
  <c r="J48" i="5"/>
  <c r="G48" i="5" s="1"/>
  <c r="C48" i="5"/>
  <c r="O47" i="5"/>
  <c r="K47" i="5"/>
  <c r="L47" i="5"/>
  <c r="J47" i="5"/>
  <c r="G47" i="5" s="1"/>
  <c r="C47" i="5"/>
  <c r="O46" i="5"/>
  <c r="K46" i="5"/>
  <c r="L46" i="5" s="1"/>
  <c r="J46" i="5"/>
  <c r="G46" i="5"/>
  <c r="C46" i="5"/>
  <c r="O45" i="5"/>
  <c r="K45" i="5"/>
  <c r="L45" i="5" s="1"/>
  <c r="J45" i="5"/>
  <c r="G45" i="5" s="1"/>
  <c r="H45" i="5" s="1"/>
  <c r="C45" i="5"/>
  <c r="O44" i="5"/>
  <c r="K44" i="5"/>
  <c r="L44" i="5" s="1"/>
  <c r="J44" i="5"/>
  <c r="G44" i="5" s="1"/>
  <c r="H44" i="5" s="1"/>
  <c r="C44" i="5"/>
  <c r="F43" i="5"/>
  <c r="C43" i="5"/>
  <c r="O42" i="5"/>
  <c r="O41" i="5"/>
  <c r="K41" i="5"/>
  <c r="L41" i="5"/>
  <c r="J41" i="5"/>
  <c r="G41" i="5" s="1"/>
  <c r="H41" i="5" s="1"/>
  <c r="C41" i="5"/>
  <c r="F40" i="5"/>
  <c r="D40" i="5"/>
  <c r="E41" i="5"/>
  <c r="C40" i="5"/>
  <c r="K38" i="5"/>
  <c r="L38" i="5" s="1"/>
  <c r="J38" i="5"/>
  <c r="G38" i="5" s="1"/>
  <c r="K37" i="5"/>
  <c r="L37" i="5" s="1"/>
  <c r="J37" i="5"/>
  <c r="G37" i="5" s="1"/>
  <c r="D36" i="5"/>
  <c r="O35" i="5"/>
  <c r="O34" i="5"/>
  <c r="O33" i="5"/>
  <c r="G33" i="5"/>
  <c r="G32" i="5"/>
  <c r="O31" i="5"/>
  <c r="G31" i="5"/>
  <c r="H31" i="5" s="1"/>
  <c r="O30" i="5"/>
  <c r="G30" i="5"/>
  <c r="O29" i="5"/>
  <c r="G29" i="5"/>
  <c r="O28" i="5"/>
  <c r="G28" i="5"/>
  <c r="F27" i="5"/>
  <c r="D27" i="5"/>
  <c r="K27" i="5" s="1"/>
  <c r="L27" i="5" s="1"/>
  <c r="C27" i="5"/>
  <c r="O26" i="5"/>
  <c r="O24" i="5"/>
  <c r="G24" i="5"/>
  <c r="G23" i="5"/>
  <c r="O22" i="5"/>
  <c r="G22" i="5"/>
  <c r="G21" i="5"/>
  <c r="O20" i="5"/>
  <c r="G20" i="5"/>
  <c r="O19" i="5"/>
  <c r="G19" i="5"/>
  <c r="O18" i="5"/>
  <c r="G18" i="5"/>
  <c r="G16" i="5"/>
  <c r="F15" i="5"/>
  <c r="D15" i="5"/>
  <c r="C15" i="5"/>
  <c r="O11" i="5"/>
  <c r="K108" i="1"/>
  <c r="L108" i="1" s="1"/>
  <c r="I29" i="1"/>
  <c r="P29" i="1" s="1"/>
  <c r="J33" i="1"/>
  <c r="G33" i="1" s="1"/>
  <c r="H33" i="1" s="1"/>
  <c r="J81" i="1"/>
  <c r="G81" i="1" s="1"/>
  <c r="H81" i="1" s="1"/>
  <c r="E86" i="1"/>
  <c r="H86" i="1" s="1"/>
  <c r="K62" i="1"/>
  <c r="L62" i="1"/>
  <c r="E73" i="1"/>
  <c r="H73" i="1"/>
  <c r="K85" i="1"/>
  <c r="L85" i="1" s="1"/>
  <c r="J102" i="1"/>
  <c r="G102" i="1"/>
  <c r="J103" i="1"/>
  <c r="G103" i="1"/>
  <c r="J26" i="1"/>
  <c r="G26" i="1" s="1"/>
  <c r="H26" i="1" s="1"/>
  <c r="J35" i="1"/>
  <c r="G35" i="1" s="1"/>
  <c r="H53" i="1"/>
  <c r="I61" i="1"/>
  <c r="P61" i="1"/>
  <c r="K102" i="1"/>
  <c r="L102" i="1"/>
  <c r="J25" i="1"/>
  <c r="G25" i="1" s="1"/>
  <c r="H25" i="1" s="1"/>
  <c r="K26" i="1"/>
  <c r="L26" i="1" s="1"/>
  <c r="J27" i="1"/>
  <c r="G27" i="1" s="1"/>
  <c r="J34" i="1"/>
  <c r="G34" i="1" s="1"/>
  <c r="J36" i="1"/>
  <c r="G36" i="1" s="1"/>
  <c r="I43" i="1"/>
  <c r="K44" i="1"/>
  <c r="L44" i="1" s="1"/>
  <c r="J47" i="1"/>
  <c r="G47" i="1"/>
  <c r="K58" i="1"/>
  <c r="L58" i="1"/>
  <c r="E72" i="1"/>
  <c r="H72" i="1"/>
  <c r="K74" i="1"/>
  <c r="L74" i="1" s="1"/>
  <c r="J77" i="1"/>
  <c r="G77" i="1"/>
  <c r="K81" i="1"/>
  <c r="L81" i="1" s="1"/>
  <c r="E87" i="1"/>
  <c r="H87" i="1" s="1"/>
  <c r="J89" i="1"/>
  <c r="G89" i="1" s="1"/>
  <c r="H89" i="1" s="1"/>
  <c r="E91" i="1"/>
  <c r="H91" i="1" s="1"/>
  <c r="H74" i="1"/>
  <c r="H49" i="5"/>
  <c r="E25" i="1"/>
  <c r="E27" i="1"/>
  <c r="E47" i="1"/>
  <c r="H52" i="1"/>
  <c r="E66" i="1"/>
  <c r="E77" i="1"/>
  <c r="E82" i="1"/>
  <c r="H82" i="1" s="1"/>
  <c r="E84" i="1"/>
  <c r="E89" i="1"/>
  <c r="J93" i="1"/>
  <c r="G93" i="1" s="1"/>
  <c r="H96" i="1"/>
  <c r="E110" i="1"/>
  <c r="H110" i="1" s="1"/>
  <c r="J24" i="1"/>
  <c r="G24" i="1"/>
  <c r="E26" i="1"/>
  <c r="K27" i="1"/>
  <c r="L27" i="1"/>
  <c r="J68" i="1"/>
  <c r="G68" i="1" s="1"/>
  <c r="E81" i="1"/>
  <c r="K84" i="1"/>
  <c r="L84" i="1" s="1"/>
  <c r="E88" i="1"/>
  <c r="H88" i="1" s="1"/>
  <c r="E90" i="1"/>
  <c r="E95" i="5"/>
  <c r="H95" i="5"/>
  <c r="H96" i="5"/>
  <c r="E105" i="5"/>
  <c r="H105" i="5"/>
  <c r="E107" i="5"/>
  <c r="H107" i="5"/>
  <c r="K13" i="1"/>
  <c r="K14" i="1"/>
  <c r="L14" i="1"/>
  <c r="L13" i="1" s="1"/>
  <c r="I17" i="1"/>
  <c r="K19" i="1"/>
  <c r="L19" i="1" s="1"/>
  <c r="K20" i="1"/>
  <c r="L20" i="1" s="1"/>
  <c r="K21" i="1"/>
  <c r="L21" i="1" s="1"/>
  <c r="K30" i="1"/>
  <c r="L30" i="1" s="1"/>
  <c r="E33" i="1"/>
  <c r="E34" i="1"/>
  <c r="E35" i="1"/>
  <c r="E36" i="1"/>
  <c r="H36" i="1" s="1"/>
  <c r="E37" i="1"/>
  <c r="H37" i="1"/>
  <c r="K39" i="1"/>
  <c r="L39" i="1"/>
  <c r="P44" i="1"/>
  <c r="I46" i="1"/>
  <c r="K51" i="1"/>
  <c r="L51" i="1"/>
  <c r="E56" i="1"/>
  <c r="P58" i="1"/>
  <c r="P62" i="1"/>
  <c r="K68" i="1"/>
  <c r="L68" i="1" s="1"/>
  <c r="P74" i="1"/>
  <c r="I76" i="1"/>
  <c r="K76" i="1" s="1"/>
  <c r="K78" i="1"/>
  <c r="L78" i="1" s="1"/>
  <c r="K83" i="1"/>
  <c r="L83" i="1" s="1"/>
  <c r="P85" i="1"/>
  <c r="E97" i="1"/>
  <c r="H97" i="1" s="1"/>
  <c r="J14" i="1"/>
  <c r="J19" i="1"/>
  <c r="E20" i="1"/>
  <c r="J20" i="1"/>
  <c r="G20" i="1" s="1"/>
  <c r="E21" i="1"/>
  <c r="J21" i="1"/>
  <c r="G21" i="1"/>
  <c r="H21" i="1" s="1"/>
  <c r="E22" i="1"/>
  <c r="P24" i="1"/>
  <c r="P25" i="1"/>
  <c r="P33" i="1"/>
  <c r="P34" i="1"/>
  <c r="P35" i="1"/>
  <c r="P36" i="1"/>
  <c r="K47" i="1"/>
  <c r="L47" i="1"/>
  <c r="E48" i="1"/>
  <c r="E49" i="1"/>
  <c r="H49" i="1"/>
  <c r="E50" i="1"/>
  <c r="H50" i="1"/>
  <c r="E51" i="1"/>
  <c r="J51" i="1"/>
  <c r="G51" i="1" s="1"/>
  <c r="I55" i="1"/>
  <c r="E65" i="1"/>
  <c r="H65" i="1" s="1"/>
  <c r="I71" i="1"/>
  <c r="K77" i="1"/>
  <c r="L77" i="1" s="1"/>
  <c r="J78" i="1"/>
  <c r="G78" i="1" s="1"/>
  <c r="H78" i="1" s="1"/>
  <c r="E83" i="1"/>
  <c r="J83" i="1"/>
  <c r="G83" i="1" s="1"/>
  <c r="K89" i="1"/>
  <c r="L89" i="1" s="1"/>
  <c r="K93" i="1"/>
  <c r="L93" i="1"/>
  <c r="E94" i="1"/>
  <c r="H94" i="1" s="1"/>
  <c r="E98" i="1"/>
  <c r="I101" i="1"/>
  <c r="K103" i="1"/>
  <c r="L103" i="1"/>
  <c r="J108" i="1"/>
  <c r="G108" i="1"/>
  <c r="E109" i="1"/>
  <c r="P14" i="1"/>
  <c r="E31" i="1"/>
  <c r="H31" i="1" s="1"/>
  <c r="E57" i="1"/>
  <c r="H57" i="1" s="1"/>
  <c r="E59" i="1"/>
  <c r="H59" i="1" s="1"/>
  <c r="E103" i="1"/>
  <c r="H103" i="1" s="1"/>
  <c r="E111" i="1"/>
  <c r="H111" i="1"/>
  <c r="E34" i="5"/>
  <c r="H34" i="5"/>
  <c r="E20" i="5"/>
  <c r="H20" i="5"/>
  <c r="J58" i="5"/>
  <c r="G58" i="5" s="1"/>
  <c r="J36" i="5"/>
  <c r="G36" i="5" s="1"/>
  <c r="H62" i="5"/>
  <c r="K40" i="5"/>
  <c r="L40" i="5"/>
  <c r="K94" i="5"/>
  <c r="L94" i="5" s="1"/>
  <c r="E99" i="5"/>
  <c r="E97" i="5"/>
  <c r="E98" i="5"/>
  <c r="H98" i="5" s="1"/>
  <c r="E100" i="5"/>
  <c r="E110" i="5"/>
  <c r="H110" i="5" s="1"/>
  <c r="E74" i="5"/>
  <c r="O102" i="5"/>
  <c r="J102" i="5"/>
  <c r="G102" i="5"/>
  <c r="K76" i="5"/>
  <c r="L76" i="5"/>
  <c r="J81" i="5"/>
  <c r="G81" i="5"/>
  <c r="E84" i="5"/>
  <c r="E85" i="5"/>
  <c r="H85" i="5" s="1"/>
  <c r="J85" i="5"/>
  <c r="G85" i="5" s="1"/>
  <c r="E92" i="5"/>
  <c r="K103" i="5"/>
  <c r="L103" i="5" s="1"/>
  <c r="E104" i="5"/>
  <c r="H104" i="5"/>
  <c r="K109" i="5"/>
  <c r="L109" i="5" s="1"/>
  <c r="E106" i="5"/>
  <c r="J40" i="5"/>
  <c r="G40" i="5" s="1"/>
  <c r="E54" i="5"/>
  <c r="E56" i="5"/>
  <c r="H56" i="5" s="1"/>
  <c r="K58" i="5"/>
  <c r="L58" i="5" s="1"/>
  <c r="K60" i="5"/>
  <c r="L60" i="5" s="1"/>
  <c r="K68" i="5"/>
  <c r="L68" i="5"/>
  <c r="J76" i="5"/>
  <c r="G76" i="5" s="1"/>
  <c r="K102" i="5"/>
  <c r="L102" i="5" s="1"/>
  <c r="E103" i="5"/>
  <c r="J103" i="5"/>
  <c r="G103" i="5"/>
  <c r="H103" i="5" s="1"/>
  <c r="J109" i="5"/>
  <c r="G109" i="5" s="1"/>
  <c r="E82" i="5"/>
  <c r="H82" i="5"/>
  <c r="E87" i="5"/>
  <c r="H87" i="5"/>
  <c r="E88" i="5"/>
  <c r="H88" i="5"/>
  <c r="E89" i="5"/>
  <c r="H89" i="5"/>
  <c r="E90" i="5"/>
  <c r="H90" i="5"/>
  <c r="O103" i="5"/>
  <c r="E61" i="5"/>
  <c r="H61" i="5"/>
  <c r="E83" i="5"/>
  <c r="H83" i="5"/>
  <c r="E86" i="5"/>
  <c r="E44" i="5"/>
  <c r="E46" i="5"/>
  <c r="H46" i="5" s="1"/>
  <c r="E47" i="5"/>
  <c r="H47" i="5"/>
  <c r="E48" i="5"/>
  <c r="E29" i="5"/>
  <c r="H29" i="5" s="1"/>
  <c r="E30" i="5"/>
  <c r="H30" i="5"/>
  <c r="E31" i="5"/>
  <c r="E33" i="5"/>
  <c r="H33" i="5"/>
  <c r="E28" i="5"/>
  <c r="H28" i="5" s="1"/>
  <c r="E32" i="5"/>
  <c r="H32" i="5"/>
  <c r="E16" i="5"/>
  <c r="E24" i="5"/>
  <c r="H24" i="5" s="1"/>
  <c r="E25" i="5"/>
  <c r="E17" i="5"/>
  <c r="H17" i="5" s="1"/>
  <c r="E18" i="5"/>
  <c r="E22" i="5"/>
  <c r="H22" i="5"/>
  <c r="E23" i="5"/>
  <c r="E19" i="5"/>
  <c r="H19" i="5"/>
  <c r="K81" i="5"/>
  <c r="L81" i="5" s="1"/>
  <c r="O58" i="5"/>
  <c r="O52" i="5"/>
  <c r="K52" i="5"/>
  <c r="L52" i="5" s="1"/>
  <c r="O40" i="5"/>
  <c r="O27" i="5"/>
  <c r="O71" i="5"/>
  <c r="J94" i="5"/>
  <c r="G94" i="5" s="1"/>
  <c r="O94" i="5"/>
  <c r="K29" i="1"/>
  <c r="L29" i="1" s="1"/>
  <c r="H35" i="1"/>
  <c r="K61" i="1"/>
  <c r="L61" i="1"/>
  <c r="J61" i="1"/>
  <c r="G61" i="1" s="1"/>
  <c r="H34" i="1"/>
  <c r="H20" i="1"/>
  <c r="H27" i="1"/>
  <c r="H47" i="1"/>
  <c r="H51" i="1"/>
  <c r="K71" i="1"/>
  <c r="L71" i="1" s="1"/>
  <c r="P71" i="1"/>
  <c r="J71" i="1"/>
  <c r="G71" i="1"/>
  <c r="J13" i="1"/>
  <c r="G13" i="1"/>
  <c r="G14" i="1"/>
  <c r="J55" i="1"/>
  <c r="G55" i="1" s="1"/>
  <c r="H83" i="1"/>
  <c r="J17" i="1"/>
  <c r="G17" i="1" s="1"/>
  <c r="K17" i="1"/>
  <c r="L17" i="1" s="1"/>
  <c r="P17" i="1"/>
  <c r="J76" i="1"/>
  <c r="G76" i="1"/>
  <c r="L76" i="1"/>
  <c r="P76" i="1"/>
  <c r="J46" i="1"/>
  <c r="G46" i="1" s="1"/>
  <c r="K46" i="1"/>
  <c r="L46" i="1"/>
  <c r="P46" i="1"/>
  <c r="H73" i="5" l="1"/>
  <c r="E105" i="1"/>
  <c r="H105" i="1" s="1"/>
  <c r="E101" i="1"/>
  <c r="E104" i="1"/>
  <c r="K55" i="1"/>
  <c r="L55" i="1" s="1"/>
  <c r="P55" i="1"/>
  <c r="H74" i="5"/>
  <c r="H56" i="1"/>
  <c r="H98" i="1"/>
  <c r="J71" i="5"/>
  <c r="G71" i="5" s="1"/>
  <c r="E72" i="5"/>
  <c r="H72" i="5" s="1"/>
  <c r="E73" i="5"/>
  <c r="J101" i="1"/>
  <c r="G101" i="1" s="1"/>
  <c r="H101" i="1" s="1"/>
  <c r="H99" i="5"/>
  <c r="H40" i="1"/>
  <c r="E41" i="1"/>
  <c r="H37" i="6"/>
  <c r="E38" i="5"/>
  <c r="H38" i="5" s="1"/>
  <c r="D14" i="5"/>
  <c r="E52" i="5" s="1"/>
  <c r="J43" i="1"/>
  <c r="G43" i="1" s="1"/>
  <c r="K43" i="1"/>
  <c r="L43" i="1" s="1"/>
  <c r="E95" i="1"/>
  <c r="H95" i="1" s="1"/>
  <c r="D16" i="1"/>
  <c r="E99" i="1"/>
  <c r="H99" i="1" s="1"/>
  <c r="K23" i="6"/>
  <c r="L23" i="6" s="1"/>
  <c r="J23" i="6"/>
  <c r="G23" i="6" s="1"/>
  <c r="H23" i="6" s="1"/>
  <c r="O23" i="6"/>
  <c r="E37" i="5"/>
  <c r="H37" i="5" s="1"/>
  <c r="H16" i="5"/>
  <c r="P101" i="1"/>
  <c r="K36" i="5"/>
  <c r="L36" i="5" s="1"/>
  <c r="J84" i="1"/>
  <c r="G84" i="1" s="1"/>
  <c r="H84" i="1" s="1"/>
  <c r="H18" i="5"/>
  <c r="E55" i="5"/>
  <c r="E53" i="5"/>
  <c r="H53" i="5" s="1"/>
  <c r="J52" i="5"/>
  <c r="G52" i="5" s="1"/>
  <c r="K67" i="6"/>
  <c r="L67" i="6" s="1"/>
  <c r="I43" i="5"/>
  <c r="O48" i="5"/>
  <c r="K25" i="5"/>
  <c r="L25" i="5" s="1"/>
  <c r="J25" i="5"/>
  <c r="G25" i="5" s="1"/>
  <c r="H25" i="5" s="1"/>
  <c r="I15" i="5"/>
  <c r="O25" i="5"/>
  <c r="K13" i="5"/>
  <c r="J13" i="5"/>
  <c r="L13" i="5" s="1"/>
  <c r="L12" i="5" s="1"/>
  <c r="I12" i="5"/>
  <c r="H104" i="1"/>
  <c r="K71" i="5"/>
  <c r="L71" i="5" s="1"/>
  <c r="P43" i="1"/>
  <c r="K101" i="1"/>
  <c r="L101" i="1" s="1"/>
  <c r="H23" i="5"/>
  <c r="H48" i="5"/>
  <c r="E102" i="1"/>
  <c r="H102" i="1" s="1"/>
  <c r="H77" i="1"/>
  <c r="H55" i="5"/>
  <c r="H41" i="1"/>
  <c r="J67" i="6"/>
  <c r="G67" i="6" s="1"/>
  <c r="J29" i="1"/>
  <c r="G29" i="1" s="1"/>
  <c r="E78" i="5"/>
  <c r="H78" i="5" s="1"/>
  <c r="E24" i="1"/>
  <c r="H24" i="1" s="1"/>
  <c r="H115" i="5"/>
  <c r="E33" i="6"/>
  <c r="K27" i="6"/>
  <c r="L27" i="6" s="1"/>
  <c r="E31" i="6"/>
  <c r="E34" i="6"/>
  <c r="H34" i="6" s="1"/>
  <c r="E29" i="6"/>
  <c r="H29" i="6" s="1"/>
  <c r="E30" i="6"/>
  <c r="H30" i="6" s="1"/>
  <c r="E32" i="6"/>
  <c r="H32" i="6" s="1"/>
  <c r="J12" i="6"/>
  <c r="G12" i="6" s="1"/>
  <c r="O12" i="6"/>
  <c r="J69" i="6"/>
  <c r="G69" i="6" s="1"/>
  <c r="H69" i="6" s="1"/>
  <c r="K69" i="6"/>
  <c r="L69" i="6" s="1"/>
  <c r="J27" i="5"/>
  <c r="G27" i="5" s="1"/>
  <c r="E79" i="5"/>
  <c r="H79" i="5" s="1"/>
  <c r="O27" i="6"/>
  <c r="J27" i="6"/>
  <c r="G27" i="6" s="1"/>
  <c r="H28" i="6"/>
  <c r="K48" i="6"/>
  <c r="L48" i="6" s="1"/>
  <c r="I43" i="6"/>
  <c r="J48" i="6"/>
  <c r="G48" i="6" s="1"/>
  <c r="H48" i="6" s="1"/>
  <c r="E65" i="6"/>
  <c r="H65" i="6" s="1"/>
  <c r="K64" i="6"/>
  <c r="L64" i="6" s="1"/>
  <c r="K18" i="6"/>
  <c r="L18" i="6" s="1"/>
  <c r="J18" i="6"/>
  <c r="G18" i="6" s="1"/>
  <c r="H18" i="6" s="1"/>
  <c r="O18" i="6"/>
  <c r="K52" i="6"/>
  <c r="L52" i="6" s="1"/>
  <c r="E53" i="6"/>
  <c r="H53" i="6" s="1"/>
  <c r="E55" i="6"/>
  <c r="H55" i="6" s="1"/>
  <c r="J52" i="6"/>
  <c r="G52" i="6" s="1"/>
  <c r="H68" i="6"/>
  <c r="H80" i="8"/>
  <c r="O55" i="8"/>
  <c r="I52" i="8"/>
  <c r="J55" i="8"/>
  <c r="G55" i="8" s="1"/>
  <c r="H55" i="8" s="1"/>
  <c r="K55" i="8"/>
  <c r="L55" i="8" s="1"/>
  <c r="E19" i="1"/>
  <c r="H19" i="1" s="1"/>
  <c r="I80" i="1"/>
  <c r="H22" i="6"/>
  <c r="E112" i="5"/>
  <c r="H112" i="5" s="1"/>
  <c r="E113" i="5"/>
  <c r="E111" i="5"/>
  <c r="H111" i="5" s="1"/>
  <c r="J36" i="6"/>
  <c r="G36" i="6" s="1"/>
  <c r="K36" i="6"/>
  <c r="L36" i="6" s="1"/>
  <c r="E38" i="6"/>
  <c r="H38" i="6" s="1"/>
  <c r="E74" i="8"/>
  <c r="E75" i="8"/>
  <c r="H75" i="8" s="1"/>
  <c r="E73" i="8"/>
  <c r="H73" i="8" s="1"/>
  <c r="H110" i="8"/>
  <c r="H113" i="5"/>
  <c r="H50" i="5"/>
  <c r="K65" i="5"/>
  <c r="L65" i="5" s="1"/>
  <c r="J65" i="5"/>
  <c r="G65" i="5" s="1"/>
  <c r="E66" i="5"/>
  <c r="H66" i="5" s="1"/>
  <c r="H31" i="6"/>
  <c r="J33" i="6"/>
  <c r="G33" i="6" s="1"/>
  <c r="H33" i="6" s="1"/>
  <c r="K33" i="6"/>
  <c r="L33" i="6" s="1"/>
  <c r="H103" i="8"/>
  <c r="O48" i="8"/>
  <c r="J48" i="8"/>
  <c r="G48" i="8" s="1"/>
  <c r="H48" i="8" s="1"/>
  <c r="K48" i="8"/>
  <c r="L48" i="8" s="1"/>
  <c r="I43" i="8"/>
  <c r="E53" i="8"/>
  <c r="H53" i="8" s="1"/>
  <c r="K52" i="8"/>
  <c r="L52" i="8" s="1"/>
  <c r="E54" i="8"/>
  <c r="H54" i="8" s="1"/>
  <c r="E56" i="8"/>
  <c r="E55" i="8"/>
  <c r="E22" i="6"/>
  <c r="E17" i="6"/>
  <c r="H17" i="6" s="1"/>
  <c r="D14" i="6"/>
  <c r="E64" i="6" s="1"/>
  <c r="H64" i="6" s="1"/>
  <c r="H112" i="8"/>
  <c r="H29" i="8"/>
  <c r="K72" i="6"/>
  <c r="L72" i="6" s="1"/>
  <c r="I15" i="6"/>
  <c r="O17" i="6"/>
  <c r="H33" i="8"/>
  <c r="H31" i="8"/>
  <c r="J86" i="8"/>
  <c r="G86" i="8" s="1"/>
  <c r="H86" i="8" s="1"/>
  <c r="K86" i="8"/>
  <c r="L86" i="8" s="1"/>
  <c r="O86" i="8"/>
  <c r="I106" i="8"/>
  <c r="O107" i="8"/>
  <c r="E41" i="8"/>
  <c r="H41" i="8" s="1"/>
  <c r="D14" i="8"/>
  <c r="O72" i="6"/>
  <c r="E24" i="6"/>
  <c r="H24" i="6" s="1"/>
  <c r="I40" i="6"/>
  <c r="J41" i="6"/>
  <c r="G41" i="6" s="1"/>
  <c r="H41" i="6" s="1"/>
  <c r="O41" i="6"/>
  <c r="O46" i="8"/>
  <c r="K46" i="8"/>
  <c r="L46" i="8" s="1"/>
  <c r="J46" i="8"/>
  <c r="G46" i="8" s="1"/>
  <c r="H46" i="8" s="1"/>
  <c r="H108" i="8"/>
  <c r="E18" i="6"/>
  <c r="K17" i="6"/>
  <c r="L17" i="6" s="1"/>
  <c r="J90" i="8"/>
  <c r="G90" i="8" s="1"/>
  <c r="H23" i="8"/>
  <c r="O33" i="8"/>
  <c r="I27" i="8"/>
  <c r="E83" i="8"/>
  <c r="H83" i="8" s="1"/>
  <c r="E88" i="8"/>
  <c r="H88" i="8" s="1"/>
  <c r="E79" i="8"/>
  <c r="H79" i="8" s="1"/>
  <c r="E78" i="8"/>
  <c r="E84" i="8"/>
  <c r="H84" i="8" s="1"/>
  <c r="E81" i="8"/>
  <c r="E87" i="8"/>
  <c r="H87" i="8" s="1"/>
  <c r="E92" i="8"/>
  <c r="H92" i="8" s="1"/>
  <c r="E91" i="8"/>
  <c r="H91" i="8" s="1"/>
  <c r="E95" i="8"/>
  <c r="H95" i="8" s="1"/>
  <c r="E93" i="8"/>
  <c r="H93" i="8" s="1"/>
  <c r="E97" i="8"/>
  <c r="H97" i="8" s="1"/>
  <c r="H81" i="8"/>
  <c r="E62" i="8"/>
  <c r="H62" i="8" s="1"/>
  <c r="K61" i="8"/>
  <c r="L61" i="8" s="1"/>
  <c r="J74" i="8"/>
  <c r="G74" i="8" s="1"/>
  <c r="H74" i="8" s="1"/>
  <c r="K74" i="8"/>
  <c r="L74" i="8" s="1"/>
  <c r="I72" i="8"/>
  <c r="E103" i="8"/>
  <c r="E101" i="8"/>
  <c r="H101" i="8" s="1"/>
  <c r="E102" i="8"/>
  <c r="H102" i="8" s="1"/>
  <c r="E104" i="8"/>
  <c r="E100" i="8"/>
  <c r="H100" i="8" s="1"/>
  <c r="H104" i="8"/>
  <c r="K111" i="8"/>
  <c r="L111" i="8" s="1"/>
  <c r="O111" i="8"/>
  <c r="O78" i="8"/>
  <c r="J78" i="8"/>
  <c r="G78" i="8" s="1"/>
  <c r="H78" i="8" s="1"/>
  <c r="K78" i="8"/>
  <c r="L78" i="8" s="1"/>
  <c r="I77" i="8"/>
  <c r="J56" i="8"/>
  <c r="G56" i="8" s="1"/>
  <c r="K56" i="8"/>
  <c r="L56" i="8" s="1"/>
  <c r="E112" i="8"/>
  <c r="E43" i="8" l="1"/>
  <c r="E40" i="8"/>
  <c r="H40" i="8" s="1"/>
  <c r="E14" i="8"/>
  <c r="E99" i="8"/>
  <c r="H99" i="8" s="1"/>
  <c r="E64" i="8"/>
  <c r="H64" i="8" s="1"/>
  <c r="E27" i="8"/>
  <c r="E36" i="8"/>
  <c r="H36" i="8" s="1"/>
  <c r="E61" i="8"/>
  <c r="H61" i="8" s="1"/>
  <c r="E15" i="8"/>
  <c r="H15" i="8" s="1"/>
  <c r="E106" i="8"/>
  <c r="E67" i="8"/>
  <c r="H67" i="8" s="1"/>
  <c r="D10" i="8"/>
  <c r="E12" i="8" s="1"/>
  <c r="H12" i="8" s="1"/>
  <c r="E58" i="8"/>
  <c r="H58" i="8" s="1"/>
  <c r="E21" i="8"/>
  <c r="H21" i="8" s="1"/>
  <c r="E90" i="8"/>
  <c r="E72" i="8"/>
  <c r="E77" i="8"/>
  <c r="E52" i="8"/>
  <c r="H65" i="5"/>
  <c r="J52" i="8"/>
  <c r="G52" i="8" s="1"/>
  <c r="O52" i="8"/>
  <c r="I14" i="5"/>
  <c r="K15" i="5"/>
  <c r="L15" i="5" s="1"/>
  <c r="O15" i="5"/>
  <c r="J15" i="5"/>
  <c r="G15" i="5" s="1"/>
  <c r="H15" i="5" s="1"/>
  <c r="E105" i="6"/>
  <c r="H105" i="6" s="1"/>
  <c r="E77" i="6"/>
  <c r="H77" i="6" s="1"/>
  <c r="E61" i="6"/>
  <c r="H61" i="6" s="1"/>
  <c r="E67" i="6"/>
  <c r="H67" i="6" s="1"/>
  <c r="E40" i="6"/>
  <c r="E15" i="6"/>
  <c r="E90" i="6"/>
  <c r="H90" i="6" s="1"/>
  <c r="E43" i="6"/>
  <c r="D10" i="6"/>
  <c r="E12" i="6" s="1"/>
  <c r="H12" i="6" s="1"/>
  <c r="E98" i="6"/>
  <c r="H98" i="6" s="1"/>
  <c r="E72" i="6"/>
  <c r="H72" i="6" s="1"/>
  <c r="E58" i="6"/>
  <c r="H58" i="6" s="1"/>
  <c r="E21" i="6"/>
  <c r="H21" i="6" s="1"/>
  <c r="E36" i="6"/>
  <c r="H36" i="6" s="1"/>
  <c r="H90" i="8"/>
  <c r="E65" i="5"/>
  <c r="E94" i="5"/>
  <c r="H94" i="5" s="1"/>
  <c r="E68" i="5"/>
  <c r="H68" i="5" s="1"/>
  <c r="E15" i="5"/>
  <c r="E58" i="5"/>
  <c r="H58" i="5" s="1"/>
  <c r="E76" i="5"/>
  <c r="H76" i="5" s="1"/>
  <c r="E81" i="5"/>
  <c r="H81" i="5" s="1"/>
  <c r="E21" i="5"/>
  <c r="H21" i="5" s="1"/>
  <c r="E43" i="5"/>
  <c r="E102" i="5"/>
  <c r="H102" i="5" s="1"/>
  <c r="E60" i="5"/>
  <c r="H60" i="5" s="1"/>
  <c r="E40" i="5"/>
  <c r="H40" i="5" s="1"/>
  <c r="K14" i="5"/>
  <c r="D10" i="5"/>
  <c r="E12" i="5" s="1"/>
  <c r="E27" i="5"/>
  <c r="H27" i="5" s="1"/>
  <c r="E109" i="5"/>
  <c r="H109" i="5" s="1"/>
  <c r="O43" i="6"/>
  <c r="J43" i="6"/>
  <c r="G43" i="6" s="1"/>
  <c r="K43" i="6"/>
  <c r="L43" i="6" s="1"/>
  <c r="O40" i="6"/>
  <c r="J40" i="6"/>
  <c r="G40" i="6" s="1"/>
  <c r="H40" i="6" s="1"/>
  <c r="K40" i="6"/>
  <c r="L40" i="6" s="1"/>
  <c r="P80" i="1"/>
  <c r="K80" i="1"/>
  <c r="L80" i="1" s="1"/>
  <c r="J80" i="1"/>
  <c r="G80" i="1" s="1"/>
  <c r="H80" i="1" s="1"/>
  <c r="I10" i="5"/>
  <c r="K12" i="5"/>
  <c r="J12" i="5"/>
  <c r="G12" i="5" s="1"/>
  <c r="O12" i="5"/>
  <c r="J43" i="5"/>
  <c r="G43" i="5" s="1"/>
  <c r="H43" i="5" s="1"/>
  <c r="K43" i="5"/>
  <c r="L43" i="5" s="1"/>
  <c r="O43" i="5"/>
  <c r="I16" i="1"/>
  <c r="O72" i="8"/>
  <c r="J72" i="8"/>
  <c r="G72" i="8" s="1"/>
  <c r="H72" i="8" s="1"/>
  <c r="E71" i="5"/>
  <c r="H71" i="5" s="1"/>
  <c r="H56" i="8"/>
  <c r="O106" i="8"/>
  <c r="K106" i="8"/>
  <c r="L106" i="8" s="1"/>
  <c r="J106" i="8"/>
  <c r="G106" i="8" s="1"/>
  <c r="I14" i="6"/>
  <c r="O15" i="6"/>
  <c r="J15" i="6"/>
  <c r="G15" i="6" s="1"/>
  <c r="H15" i="6" s="1"/>
  <c r="K72" i="8"/>
  <c r="L72" i="8" s="1"/>
  <c r="E36" i="5"/>
  <c r="H36" i="5" s="1"/>
  <c r="K27" i="8"/>
  <c r="L27" i="8" s="1"/>
  <c r="O27" i="8"/>
  <c r="J27" i="8"/>
  <c r="G27" i="8" s="1"/>
  <c r="H27" i="8" s="1"/>
  <c r="I14" i="8"/>
  <c r="K14" i="8" s="1"/>
  <c r="K77" i="8"/>
  <c r="L77" i="8" s="1"/>
  <c r="O77" i="8"/>
  <c r="J77" i="8"/>
  <c r="G77" i="8" s="1"/>
  <c r="K15" i="6"/>
  <c r="L15" i="6" s="1"/>
  <c r="O43" i="8"/>
  <c r="J43" i="8"/>
  <c r="G43" i="8" s="1"/>
  <c r="H43" i="8" s="1"/>
  <c r="K43" i="8"/>
  <c r="L43" i="8" s="1"/>
  <c r="E52" i="6"/>
  <c r="H52" i="6" s="1"/>
  <c r="E27" i="6"/>
  <c r="H27" i="6" s="1"/>
  <c r="E55" i="1"/>
  <c r="H55" i="1" s="1"/>
  <c r="E64" i="1"/>
  <c r="H64" i="1" s="1"/>
  <c r="E46" i="1"/>
  <c r="H46" i="1" s="1"/>
  <c r="E80" i="1"/>
  <c r="D11" i="1"/>
  <c r="E29" i="1"/>
  <c r="H29" i="1" s="1"/>
  <c r="E39" i="1"/>
  <c r="H39" i="1" s="1"/>
  <c r="E61" i="1"/>
  <c r="H61" i="1" s="1"/>
  <c r="E68" i="1"/>
  <c r="H68" i="1" s="1"/>
  <c r="E43" i="1"/>
  <c r="H43" i="1" s="1"/>
  <c r="E17" i="1"/>
  <c r="H17" i="1" s="1"/>
  <c r="E76" i="1"/>
  <c r="H76" i="1" s="1"/>
  <c r="K16" i="1"/>
  <c r="E108" i="1"/>
  <c r="H108" i="1" s="1"/>
  <c r="E23" i="1"/>
  <c r="H23" i="1" s="1"/>
  <c r="E93" i="1"/>
  <c r="H93" i="1" s="1"/>
  <c r="E71" i="1"/>
  <c r="H71" i="1" s="1"/>
  <c r="H52" i="5"/>
  <c r="K10" i="8" l="1"/>
  <c r="L10" i="8" s="1"/>
  <c r="L14" i="8"/>
  <c r="K10" i="5"/>
  <c r="L10" i="5" s="1"/>
  <c r="L14" i="5"/>
  <c r="J14" i="8"/>
  <c r="G14" i="8" s="1"/>
  <c r="H14" i="8" s="1"/>
  <c r="I10" i="8"/>
  <c r="O14" i="8"/>
  <c r="O14" i="6"/>
  <c r="J14" i="6"/>
  <c r="G14" i="6" s="1"/>
  <c r="I10" i="6"/>
  <c r="P16" i="1"/>
  <c r="I11" i="1"/>
  <c r="J16" i="1"/>
  <c r="G16" i="1" s="1"/>
  <c r="H16" i="1" s="1"/>
  <c r="E14" i="5"/>
  <c r="K14" i="6"/>
  <c r="O10" i="5"/>
  <c r="J10" i="5"/>
  <c r="G10" i="5" s="1"/>
  <c r="H10" i="5" s="1"/>
  <c r="H106" i="8"/>
  <c r="H43" i="6"/>
  <c r="O14" i="5"/>
  <c r="J14" i="5"/>
  <c r="G14" i="5" s="1"/>
  <c r="H12" i="5"/>
  <c r="E14" i="1"/>
  <c r="H14" i="1" s="1"/>
  <c r="E13" i="1"/>
  <c r="H13" i="1" s="1"/>
  <c r="E16" i="1"/>
  <c r="K11" i="1"/>
  <c r="L11" i="1" s="1"/>
  <c r="L16" i="1"/>
  <c r="H77" i="8"/>
  <c r="E14" i="6"/>
  <c r="H52" i="8"/>
  <c r="J10" i="8" l="1"/>
  <c r="G10" i="8" s="1"/>
  <c r="H10" i="8" s="1"/>
  <c r="O10" i="8"/>
  <c r="P11" i="1"/>
  <c r="J11" i="1"/>
  <c r="G11" i="1" s="1"/>
  <c r="H11" i="1" s="1"/>
  <c r="L14" i="6"/>
  <c r="K10" i="6"/>
  <c r="L10" i="6" s="1"/>
  <c r="J10" i="6"/>
  <c r="G10" i="6" s="1"/>
  <c r="H10" i="6" s="1"/>
  <c r="O10" i="6"/>
  <c r="H14" i="5"/>
  <c r="H14" i="6"/>
</calcChain>
</file>

<file path=xl/comments1.xml><?xml version="1.0" encoding="utf-8"?>
<comments xmlns="http://schemas.openxmlformats.org/spreadsheetml/2006/main">
  <authors>
    <author>zulbahagiani</author>
    <author>febianggara@outlook.com</author>
  </authors>
  <commentList>
    <comment ref="C25" authorId="0">
      <text>
        <r>
          <rPr>
            <b/>
            <sz val="9"/>
            <color indexed="81"/>
            <rFont val="Tahoma"/>
            <family val="2"/>
          </rPr>
          <t>zulbahagiani:</t>
        </r>
        <r>
          <rPr>
            <sz val="9"/>
            <color indexed="81"/>
            <rFont val="Tahoma"/>
            <family val="2"/>
          </rPr>
          <t xml:space="preserve">
tw 1 20jt
tw 2 20jt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febianggara@outlook.com:</t>
        </r>
        <r>
          <rPr>
            <sz val="9"/>
            <color indexed="81"/>
            <rFont val="Tahoma"/>
            <family val="2"/>
          </rPr>
          <t xml:space="preserve">
KEGIATAN BARU</t>
        </r>
      </text>
    </comment>
    <comment ref="J40" authorId="1">
      <text>
        <r>
          <rPr>
            <b/>
            <sz val="9"/>
            <color indexed="81"/>
            <rFont val="Tahoma"/>
            <family val="2"/>
          </rPr>
          <t>febianggara@outlook.com:</t>
        </r>
        <r>
          <rPr>
            <sz val="9"/>
            <color indexed="81"/>
            <rFont val="Tahoma"/>
            <family val="2"/>
          </rPr>
          <t xml:space="preserve">
KEGIATAN BARU</t>
        </r>
      </text>
    </comment>
    <comment ref="C63" authorId="0">
      <text>
        <r>
          <rPr>
            <b/>
            <sz val="9"/>
            <color indexed="81"/>
            <rFont val="Tahoma"/>
            <family val="2"/>
          </rPr>
          <t>zulbahagiani:</t>
        </r>
        <r>
          <rPr>
            <sz val="9"/>
            <color indexed="81"/>
            <rFont val="Tahoma"/>
            <family val="2"/>
          </rPr>
          <t xml:space="preserve">
musrenbang anak
kapacity building anak
kota layak anak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>zulbahagiani:</t>
        </r>
        <r>
          <rPr>
            <sz val="9"/>
            <color indexed="81"/>
            <rFont val="Tahoma"/>
            <family val="2"/>
          </rPr>
          <t xml:space="preserve">
rakor opr
dok indek ratio
dok monev
</t>
        </r>
      </text>
    </comment>
    <comment ref="C65" authorId="0">
      <text>
        <r>
          <rPr>
            <b/>
            <sz val="9"/>
            <color indexed="81"/>
            <rFont val="Tahoma"/>
            <family val="2"/>
          </rPr>
          <t>zulbahagiani:</t>
        </r>
        <r>
          <rPr>
            <sz val="9"/>
            <color indexed="81"/>
            <rFont val="Tahoma"/>
            <family val="2"/>
          </rPr>
          <t xml:space="preserve">
mou dgn bps</t>
        </r>
      </text>
    </comment>
    <comment ref="U65" authorId="0">
      <text>
        <r>
          <rPr>
            <b/>
            <sz val="9"/>
            <color indexed="81"/>
            <rFont val="Tahoma"/>
            <family val="2"/>
          </rPr>
          <t>zulbahagiani:</t>
        </r>
        <r>
          <rPr>
            <sz val="9"/>
            <color indexed="81"/>
            <rFont val="Tahoma"/>
            <family val="2"/>
          </rPr>
          <t xml:space="preserve">
mou dgn bps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zulbahagiani:</t>
        </r>
        <r>
          <rPr>
            <sz val="9"/>
            <color indexed="81"/>
            <rFont val="Tahoma"/>
            <family val="2"/>
          </rPr>
          <t xml:space="preserve">
rakor perencanaan bid sdm
</t>
        </r>
      </text>
    </comment>
    <comment ref="C68" authorId="0">
      <text>
        <r>
          <rPr>
            <b/>
            <sz val="9"/>
            <color indexed="81"/>
            <rFont val="Tahoma"/>
            <family val="2"/>
          </rPr>
          <t>zulbahagiani:</t>
        </r>
        <r>
          <rPr>
            <sz val="9"/>
            <color indexed="81"/>
            <rFont val="Tahoma"/>
            <family val="2"/>
          </rPr>
          <t xml:space="preserve">
LS sudah diajukan</t>
        </r>
      </text>
    </comment>
  </commentList>
</comments>
</file>

<file path=xl/sharedStrings.xml><?xml version="1.0" encoding="utf-8"?>
<sst xmlns="http://schemas.openxmlformats.org/spreadsheetml/2006/main" count="1029" uniqueCount="469">
  <si>
    <t>LAPORAN REKAPITULASI EVALUASI PELAKSANAAN KEGIATAN SATUAN KERJA PERANGKAT DAERAH</t>
  </si>
  <si>
    <t>APBD KOTA SERANG TAHUN ANGGARAN 2017</t>
  </si>
  <si>
    <t xml:space="preserve">OPD : BAPPEDA KOTA SERANG </t>
  </si>
  <si>
    <t>Bulan</t>
  </si>
  <si>
    <t>Triwulan</t>
  </si>
  <si>
    <t>: II (Dua)</t>
  </si>
  <si>
    <t>No</t>
  </si>
  <si>
    <t>KODE REKENING</t>
  </si>
  <si>
    <t>URAIAN</t>
  </si>
  <si>
    <t>ANGGARAN</t>
  </si>
  <si>
    <t>BOBOT (%)</t>
  </si>
  <si>
    <t>RENC. 
(%)</t>
  </si>
  <si>
    <t xml:space="preserve">REALISASI </t>
  </si>
  <si>
    <t>SISA ANGGARAN (Rp)</t>
  </si>
  <si>
    <t>%</t>
  </si>
  <si>
    <t>KET</t>
  </si>
  <si>
    <t>FISIK ( % )</t>
  </si>
  <si>
    <t>REALISASI S/D 
BULAN INI</t>
  </si>
  <si>
    <t>REALISASI BULAN LALU (OKT)</t>
  </si>
  <si>
    <t>Tertimbang Fisik</t>
  </si>
  <si>
    <t>Tertimbang keg</t>
  </si>
  <si>
    <t>7 = 4x6</t>
  </si>
  <si>
    <t>10 = 9 : 3</t>
  </si>
  <si>
    <t>11= 3-9</t>
  </si>
  <si>
    <t>12 =11:3</t>
  </si>
  <si>
    <t>BELANJA</t>
  </si>
  <si>
    <t>5.1</t>
  </si>
  <si>
    <t>BELANJA TIDAK LANGSUNG</t>
  </si>
  <si>
    <t>5.1.1</t>
  </si>
  <si>
    <t>Belanja Pegawai</t>
  </si>
  <si>
    <t>5.2</t>
  </si>
  <si>
    <t>BELANJA LANGSUNG</t>
  </si>
  <si>
    <t>I</t>
  </si>
  <si>
    <t>1.06.1.06.01.01</t>
  </si>
  <si>
    <t>1.06.1.06.01.01.01</t>
  </si>
  <si>
    <t>Penyediaan jasa surat menyurat</t>
  </si>
  <si>
    <t>1.06.1.06.01.01.02</t>
  </si>
  <si>
    <t>Penyediaan jasa komunikasi, sumber daya air dan listrik</t>
  </si>
  <si>
    <t>1.06.1.06.01.01.08</t>
  </si>
  <si>
    <t>Penyediaan jasa kebersihan kantor</t>
  </si>
  <si>
    <t>1.06.1.06.01.01.10</t>
  </si>
  <si>
    <t>Penyediaan alat tulis kantor</t>
  </si>
  <si>
    <t>1.06.1.06.01.01.11</t>
  </si>
  <si>
    <t>Penyediaan barang cetakan dan penggandaan</t>
  </si>
  <si>
    <t>1.06.1.06.01.01.12</t>
  </si>
  <si>
    <t>Penyediaan komponen instalasi listrik / penerangan bangunan kantor</t>
  </si>
  <si>
    <t>1.06.1.06.01.01.15</t>
  </si>
  <si>
    <t>Penyediaan bahan bacaan dan peraturan perundang-undangan</t>
  </si>
  <si>
    <t>1.06.1.06.01.01.17</t>
  </si>
  <si>
    <t>Penyediaan makanan dan minuman</t>
  </si>
  <si>
    <t>1.06.1.06.01.01.18</t>
  </si>
  <si>
    <t>Rapat-rapat koordinasi dan konsultasi ke luar daerah</t>
  </si>
  <si>
    <t>1.06.1.06.01.01.19</t>
  </si>
  <si>
    <t>Rapat-rapat koordinasi dan konsultasi dalam daerah</t>
  </si>
  <si>
    <t>II</t>
  </si>
  <si>
    <t>1.06.1.06.01.02</t>
  </si>
  <si>
    <t>1.06.1.06.01.02.05</t>
  </si>
  <si>
    <t>Pengadaan kendaraan dinas/operasional</t>
  </si>
  <si>
    <t>1.06.1.06.01.02.07</t>
  </si>
  <si>
    <t>Pengadaan perlengkapan gedung kantor</t>
  </si>
  <si>
    <t>1.06.1.06.01.02.09</t>
  </si>
  <si>
    <t>Pengadaan peralatan gedung kantor</t>
  </si>
  <si>
    <t>1.06.1.06.01.02.10</t>
  </si>
  <si>
    <t>Pengadaan mebeleur</t>
  </si>
  <si>
    <t>1.06.1.06.01.02.22</t>
  </si>
  <si>
    <t>Pemeliharaan rutin/berkala gedung kantor</t>
  </si>
  <si>
    <t>1.06.1.06.01.02.24</t>
  </si>
  <si>
    <t>Pemeliharaan rutin/berkala kendaraan dinas/operasional</t>
  </si>
  <si>
    <t>1.06.1.06.01.02.26</t>
  </si>
  <si>
    <t>Pemeliharaan rutin/berkala perlengkapan gedung kantor</t>
  </si>
  <si>
    <t>1.06.1.06.01.02.28</t>
  </si>
  <si>
    <t>Pemeliharaan rutin/berkala peralatan gedung kantor</t>
  </si>
  <si>
    <t>III</t>
  </si>
  <si>
    <t>1.06.1.06.01.03</t>
  </si>
  <si>
    <t>Program Peningkatan Disiplin Aparatur</t>
  </si>
  <si>
    <t>1.06.1.06.01.03.02</t>
  </si>
  <si>
    <t>Pengadaan pakaian dinas beserta perlengkapannya</t>
  </si>
  <si>
    <t>1.06.1.06.01.03.05</t>
  </si>
  <si>
    <t>Pengadaan pakaian khusus hari-hari tertentu</t>
  </si>
  <si>
    <t>IV</t>
  </si>
  <si>
    <t>1.06.1.06.01.05</t>
  </si>
  <si>
    <t>1.06.1.06.01.05.04</t>
  </si>
  <si>
    <t>V</t>
  </si>
  <si>
    <t>1.06.1.06.01.06</t>
  </si>
  <si>
    <t>1.06.1.06.01.06.01</t>
  </si>
  <si>
    <t>1.06.1.06.01.06.02</t>
  </si>
  <si>
    <t>1.06.1.06.01.06.04</t>
  </si>
  <si>
    <t>1.06.1.06.01.06.07</t>
  </si>
  <si>
    <t>1.06.1.06.01.06.08</t>
  </si>
  <si>
    <t>1.06.1.06.01.06.09</t>
  </si>
  <si>
    <t>Penyusunan Rencana Strategis SKPD</t>
  </si>
  <si>
    <t>1.06.1.06.01.06.10</t>
  </si>
  <si>
    <t>Penyusunan Rencana  Kerja SKPD</t>
  </si>
  <si>
    <t>VI</t>
  </si>
  <si>
    <t>1.06.1.06.01.15</t>
  </si>
  <si>
    <t>1.06.1.06.01.15.01</t>
  </si>
  <si>
    <t>Pengumpulan updating dan analisis data informasi capaian target kinerja program dan kegiatan.</t>
  </si>
  <si>
    <t>1.06.1.06.01.15.02</t>
  </si>
  <si>
    <t>Penyusunan dan pengumpulan data informasi kebutuhan penyusunan dokumen perencanaan</t>
  </si>
  <si>
    <t>1.06.1.06.01.15.04</t>
  </si>
  <si>
    <t>1.06.1.06.01.15.05</t>
  </si>
  <si>
    <t>VII</t>
  </si>
  <si>
    <t>1.06.01.06.01.16</t>
  </si>
  <si>
    <t>1.06.01.06.01.16.04</t>
  </si>
  <si>
    <t>VIII</t>
  </si>
  <si>
    <t>1.06.01.06.01.17</t>
  </si>
  <si>
    <t>Program Pengembangan Wilayah Perbatasan</t>
  </si>
  <si>
    <t>1.06.01.06.01.17.01</t>
  </si>
  <si>
    <t>Koordinasi penyelesaian masalah antar daerah</t>
  </si>
  <si>
    <t>1.06.01.06.01.17.04</t>
  </si>
  <si>
    <t>Penyusunan perencanaan pengembangan perbatasan</t>
  </si>
  <si>
    <t>1.06.01.06.01.18</t>
  </si>
  <si>
    <t>Program Perencanaan Pengembangan Wilayah Strategis dan Cepat Tumbuh</t>
  </si>
  <si>
    <t>1.06.01.06.01.18.04</t>
  </si>
  <si>
    <t>Menyusun Perencanaan Pengembangan Wilayah Strategis dan Cepat Tumbuh</t>
  </si>
  <si>
    <t>IX</t>
  </si>
  <si>
    <t>1.06.01.06.01.19</t>
  </si>
  <si>
    <t>Program Perencanaan Pengembangan Kota-Kota Menengah dan Besar</t>
  </si>
  <si>
    <t>1.06.01.06.01.19.02</t>
  </si>
  <si>
    <t>1.06.01.06.01.19.07</t>
  </si>
  <si>
    <t>1.06.01.06.01.19.09</t>
  </si>
  <si>
    <t>X</t>
  </si>
  <si>
    <t>1.06.01.06.01.20</t>
  </si>
  <si>
    <t>1.06.01.06.01.20.01</t>
  </si>
  <si>
    <t>1.06.01.06.01.20.03</t>
  </si>
  <si>
    <t>XI</t>
  </si>
  <si>
    <t>1.06.01.06.01.21</t>
  </si>
  <si>
    <t>1.06.01.06.01.21.01</t>
  </si>
  <si>
    <t>1.06.01.06.01.21.05</t>
  </si>
  <si>
    <t>Penyusunan Rancangan RPJMD</t>
  </si>
  <si>
    <t>1.06.01.06.01.21.08</t>
  </si>
  <si>
    <t>1.06.01.06.01.21.09</t>
  </si>
  <si>
    <t>1.06.01.06.01.21.12</t>
  </si>
  <si>
    <t>1.06.01.06.01.21.13</t>
  </si>
  <si>
    <t>1.06.01.06.01.21.14</t>
  </si>
  <si>
    <t>1.06.01.06.01.21.15</t>
  </si>
  <si>
    <t>1.06.01.06.01.21.16</t>
  </si>
  <si>
    <t>1.06.01.06.01.21.18</t>
  </si>
  <si>
    <t>Penyusunan KUA</t>
  </si>
  <si>
    <t>1.06.01.06.01.21.19</t>
  </si>
  <si>
    <t xml:space="preserve">Penyusunan PPAS </t>
  </si>
  <si>
    <t>XII</t>
  </si>
  <si>
    <t>1.06.01.06.01.22</t>
  </si>
  <si>
    <t>1.06.01.06.01.22.02</t>
  </si>
  <si>
    <t>1.06.01.06.01.22.04</t>
  </si>
  <si>
    <t>1.06.01.06.01.22.05</t>
  </si>
  <si>
    <t>Penyusunan Tabel Input Output Daerah</t>
  </si>
  <si>
    <t>1.06.01.06.01.22.09</t>
  </si>
  <si>
    <t>Penyusunan nilai tukar nelayan dan nilai tukar petani</t>
  </si>
  <si>
    <t>1.06.01.06.01.22.10</t>
  </si>
  <si>
    <t>Kajian potensi pangan lokal</t>
  </si>
  <si>
    <t>1.06.01.06.01.22.11</t>
  </si>
  <si>
    <t>Koordinasi penanggulangan kemiskinan</t>
  </si>
  <si>
    <t>XIII</t>
  </si>
  <si>
    <t>1.06.01.06.01.23</t>
  </si>
  <si>
    <t>1.06.01.06.01.23.03</t>
  </si>
  <si>
    <t>1.06.01.06.01.23.05</t>
  </si>
  <si>
    <t>1.06.01.06.01.23.06</t>
  </si>
  <si>
    <t>Penyusunan Indeks Pembangunan Manusia dan Inkesra</t>
  </si>
  <si>
    <t>1.06.01.06.01.23.07</t>
  </si>
  <si>
    <t>Koordinasi perencanaan pembangunan bidang pemerintahan</t>
  </si>
  <si>
    <t>1.06.01.06.01.23.10</t>
  </si>
  <si>
    <t>Fasilitasi dan koordinasi pembangunan bidang SDM</t>
  </si>
  <si>
    <t>XIV</t>
  </si>
  <si>
    <t>1.23.1.06.01.15</t>
  </si>
  <si>
    <t>program penelitian,pengembangan kebijakan strategi,inovasi daerah,dan IPTEK</t>
  </si>
  <si>
    <t>1.23.1.06.01.15.01</t>
  </si>
  <si>
    <t xml:space="preserve">penelitian dan pengembangaan bidang pemerintah,sosial dan budaya </t>
  </si>
  <si>
    <t>1.23.1.06.01.15.04</t>
  </si>
  <si>
    <t xml:space="preserve">pengembangan dan penerapan hasil inovasi dan teknologi </t>
  </si>
  <si>
    <t>1.23.1.06.01.15.05</t>
  </si>
  <si>
    <t>penelitian dan pengembangan bidang ekonomi dan pembangunan</t>
  </si>
  <si>
    <t>Kepala BAPPEDA</t>
  </si>
  <si>
    <t>Ir. H. DJOKO SUTRISNO, MT</t>
  </si>
  <si>
    <t>NIP. 19600323 199003 1 002</t>
  </si>
  <si>
    <t>: Mei  2017</t>
  </si>
  <si>
    <t>Serang, 05 Juni 2017</t>
  </si>
  <si>
    <t>02.24</t>
  </si>
  <si>
    <t>KORING</t>
  </si>
  <si>
    <t>REALISASI JUNI</t>
  </si>
  <si>
    <t>REALISASI MEI</t>
  </si>
  <si>
    <t>02.22</t>
  </si>
  <si>
    <t>PERSEN DARI PAGU (%)</t>
  </si>
  <si>
    <t>PAGU KORING /KEGIATAN</t>
  </si>
  <si>
    <t>SELISIH REALISASI MEI &amp; JUNI (Diinput ke Lap. Bulan Juni)</t>
  </si>
  <si>
    <t>02.10</t>
  </si>
  <si>
    <t>02.05</t>
  </si>
  <si>
    <t>01.17</t>
  </si>
  <si>
    <t>01.15</t>
  </si>
  <si>
    <t>01.08</t>
  </si>
  <si>
    <t>01.02</t>
  </si>
  <si>
    <t>Belanja pegawai</t>
  </si>
  <si>
    <t>Keterangan</t>
  </si>
  <si>
    <t>No.</t>
  </si>
  <si>
    <t>05.04</t>
  </si>
  <si>
    <t>02.15.05 (Litbang)</t>
  </si>
  <si>
    <t>02.15.06 (Litbang)</t>
  </si>
  <si>
    <t>Pengelolaan Barang Milik Daerah</t>
  </si>
  <si>
    <t xml:space="preserve">  </t>
  </si>
  <si>
    <t>Koordinasi Penyelesaian Permasalahan Antar Daerah</t>
  </si>
  <si>
    <t>Sosialisasi kebijakan perencanaan pembangunan daerah</t>
  </si>
  <si>
    <t>Penelitian dan Pengembangan Bidang Politik Hukum dan HAM</t>
  </si>
  <si>
    <t>Penelitian dan Pengembangan Bidang Penataan Ruangan</t>
  </si>
  <si>
    <t>Penelitian dan Pengembangan Bidang Kemasyarakatan</t>
  </si>
  <si>
    <t>XV</t>
  </si>
  <si>
    <t>APBD KOTA SERANG TAHUN ANGGARAN 2018</t>
  </si>
  <si>
    <t>Ir. H. JOKO SUTRISNO, MT</t>
  </si>
  <si>
    <t>3001.300101.01.001</t>
  </si>
  <si>
    <t>3001.01</t>
  </si>
  <si>
    <t>3001.300101.01.002</t>
  </si>
  <si>
    <t>3001.300101.01.008</t>
  </si>
  <si>
    <t>3001.300101.01.010</t>
  </si>
  <si>
    <t>3001.300101.01.011</t>
  </si>
  <si>
    <t>3001.300101.01.012</t>
  </si>
  <si>
    <t>3001.300101.01.015</t>
  </si>
  <si>
    <t>3001.300101.01.017</t>
  </si>
  <si>
    <t>3001.300101.01.018</t>
  </si>
  <si>
    <t>3001.300101.01.019</t>
  </si>
  <si>
    <t>3001.02</t>
  </si>
  <si>
    <t>3001.300101.02.007</t>
  </si>
  <si>
    <t>3001.300101.02.009</t>
  </si>
  <si>
    <t>3001.300101.02.010</t>
  </si>
  <si>
    <t>3001.300101.02.022</t>
  </si>
  <si>
    <t>3001.300101.02.024</t>
  </si>
  <si>
    <t>3001.300101.02.026</t>
  </si>
  <si>
    <t>3001.300101.02.028</t>
  </si>
  <si>
    <t>3001.03</t>
  </si>
  <si>
    <t>3001.300101.03.002</t>
  </si>
  <si>
    <t>3001.300101.03.005</t>
  </si>
  <si>
    <t>3001.05</t>
  </si>
  <si>
    <t>3001.300101.05.004</t>
  </si>
  <si>
    <t>3001.06</t>
  </si>
  <si>
    <t>3001.300101.06.001</t>
  </si>
  <si>
    <t>3001.300101.06.002</t>
  </si>
  <si>
    <t>3001.300101.06.004</t>
  </si>
  <si>
    <t>3001.300101.06.007</t>
  </si>
  <si>
    <t>3001.300101.06.008</t>
  </si>
  <si>
    <t>3001.300101.06.010</t>
  </si>
  <si>
    <t>3001.300101.06.012</t>
  </si>
  <si>
    <t>3001.15</t>
  </si>
  <si>
    <t>3001.16</t>
  </si>
  <si>
    <t>3001.17</t>
  </si>
  <si>
    <t>3001.300101.15.001</t>
  </si>
  <si>
    <t>3001.300101.15.002</t>
  </si>
  <si>
    <t>3001.300101.15.004</t>
  </si>
  <si>
    <t>3001.300101.15.005</t>
  </si>
  <si>
    <t>3001.300101.16.004</t>
  </si>
  <si>
    <t>3001.300101.17.001</t>
  </si>
  <si>
    <t>3001.18</t>
  </si>
  <si>
    <t>3001.300101.18.003</t>
  </si>
  <si>
    <t>3001.19</t>
  </si>
  <si>
    <t>3001.300101.19.002</t>
  </si>
  <si>
    <t>3001.300101.19.007</t>
  </si>
  <si>
    <t>3001.300101.19.009</t>
  </si>
  <si>
    <t>3001.20</t>
  </si>
  <si>
    <t>3001.300101.20.001</t>
  </si>
  <si>
    <t>3001.300101.20.002</t>
  </si>
  <si>
    <t>3001.300101.20.003</t>
  </si>
  <si>
    <t>3001.21</t>
  </si>
  <si>
    <t>3001.300101.21.001</t>
  </si>
  <si>
    <t>3001.300101.21.005</t>
  </si>
  <si>
    <t>3001.300101.21.008</t>
  </si>
  <si>
    <t>3001.300101.21.009</t>
  </si>
  <si>
    <t>3001.300101.21.012</t>
  </si>
  <si>
    <t>3001.300101.21.013</t>
  </si>
  <si>
    <t>3001.300101.21.014</t>
  </si>
  <si>
    <t>3001.300101.21.015</t>
  </si>
  <si>
    <t>3001.300101.21.016</t>
  </si>
  <si>
    <t>3001.300101.21.018</t>
  </si>
  <si>
    <t>3001.300101.21.019</t>
  </si>
  <si>
    <t>3001.22</t>
  </si>
  <si>
    <t>3001.23</t>
  </si>
  <si>
    <t>3001.300101.22.002</t>
  </si>
  <si>
    <t>3001.300101.22.003</t>
  </si>
  <si>
    <t>3001.300101.22.004</t>
  </si>
  <si>
    <t>3001.300101.22.009</t>
  </si>
  <si>
    <t>3001.300101.22.010</t>
  </si>
  <si>
    <t>3001.300101.22.011</t>
  </si>
  <si>
    <t>3001.300101.23.003</t>
  </si>
  <si>
    <t>3001.300101.23.005</t>
  </si>
  <si>
    <t>3001.300101.23.006</t>
  </si>
  <si>
    <t>3001.300101.23.007</t>
  </si>
  <si>
    <t>3001.300101.23.010</t>
  </si>
  <si>
    <t>3002.15</t>
  </si>
  <si>
    <t>3002.300101.15.001</t>
  </si>
  <si>
    <t>3002.300101.15.002</t>
  </si>
  <si>
    <t>3002.300101.15.004</t>
  </si>
  <si>
    <t>3002.300101.15.005</t>
  </si>
  <si>
    <t>3002.300101.15.006</t>
  </si>
  <si>
    <t>3002.300101.15.008</t>
  </si>
  <si>
    <t>Penyusunan perencanaan pengembangan ekonomi masyarakat</t>
  </si>
  <si>
    <t>Penyusunan Perencanaan Pengembangan Wilayah Strategis dan Cepat Tumbuh</t>
  </si>
  <si>
    <t>Program penelitian, pengembangan kebijakan strategi, inovasi daerah dan IPTEK</t>
  </si>
  <si>
    <t>Bulan     : April 2018</t>
  </si>
  <si>
    <t>Serang, 4 Mei 2018</t>
  </si>
  <si>
    <t>Triwulan : II</t>
  </si>
  <si>
    <t>Bulan     : Mei 2018</t>
  </si>
  <si>
    <t>Serang, 7 Juni 2018</t>
  </si>
  <si>
    <t>Bulan     : Juli 2018</t>
  </si>
  <si>
    <t>Triwulan : III</t>
  </si>
  <si>
    <t>Koordinasi Penyelesaian Masalah Perbatasan Antar Daerah</t>
  </si>
  <si>
    <t>3001.300101.22.012</t>
  </si>
  <si>
    <t>Pemutakhiran data mandiri/
Koordinasi Penanggulangan Kemiskinan (Banprov)</t>
  </si>
  <si>
    <t>Serang, 7 Agustus 2018</t>
  </si>
  <si>
    <t>Penelitian dan Pengembangan Bidang Penataan Ruang</t>
  </si>
  <si>
    <t xml:space="preserve">Pengembangan dan penerapan hasil inovasi dan teknologi </t>
  </si>
  <si>
    <t>APBD KOTA SERANG TAHUN ANGGARAN 2019</t>
  </si>
  <si>
    <t>Program Pelayanan dan Peningkatan Kapasitas Aparatur</t>
  </si>
  <si>
    <t>Pengadaan Sarana dan Prasarana Kantor</t>
  </si>
  <si>
    <t>3001.300101.01.003</t>
  </si>
  <si>
    <t>Pemeliharaan Sarana dan Prasarana Kantor</t>
  </si>
  <si>
    <t>3001.300101.01.004</t>
  </si>
  <si>
    <t>Peningkatan Kapasitas Aparatur</t>
  </si>
  <si>
    <t>Penyediaan Dokumentasi, Informatika dan Komunikasi OPD</t>
  </si>
  <si>
    <t>3001.300101.01.009</t>
  </si>
  <si>
    <t>Penyediaan Makanan dan Minuman</t>
  </si>
  <si>
    <t>Rapat-rapat Kordinasi dan Konsultasi Dalam dan Luar Daerah</t>
  </si>
  <si>
    <t>Program Pengelolaan Dan Pelaporan Keuangan</t>
  </si>
  <si>
    <t>3001.300101.02.001</t>
  </si>
  <si>
    <t>Penyusunan Pelaporan Keuangan Triwulanan dan Semesteran</t>
  </si>
  <si>
    <t>3001.300101.02.002</t>
  </si>
  <si>
    <t>3001.300101.03.001</t>
  </si>
  <si>
    <t>Penyusunan Dokumen Perencanaan Perangkat Daerah</t>
  </si>
  <si>
    <t>Penyusunan Rencana Kerja dan Anggaran Perangkat Daerah</t>
  </si>
  <si>
    <t>3001.300101.03.004</t>
  </si>
  <si>
    <t>Penysunan Pelaporan Capaian Kinerja Tahunan Perangkat Daerah</t>
  </si>
  <si>
    <t>Penysunan Data dan Profile Perangkat Daerah</t>
  </si>
  <si>
    <t>3001.11</t>
  </si>
  <si>
    <t>Program Perencanaan Infrastruktur dan Kewilayahan</t>
  </si>
  <si>
    <t>3001.300101.11.001</t>
  </si>
  <si>
    <t>3001.300101.11.002</t>
  </si>
  <si>
    <t>3001.300101.11.003</t>
  </si>
  <si>
    <t>3001.300101.11.004</t>
  </si>
  <si>
    <t>3001.300101.11.005</t>
  </si>
  <si>
    <t>Koordinasi Perencanaan penanganan permukiman</t>
  </si>
  <si>
    <t>3001.300101.11.006</t>
  </si>
  <si>
    <t>3001.300101.11.008</t>
  </si>
  <si>
    <t>Koordinasi dalam Pemecahan masalah-masalah daerah</t>
  </si>
  <si>
    <t>3001.12</t>
  </si>
  <si>
    <t>3001.300101.12.002</t>
  </si>
  <si>
    <t>Penyusunan dan analisis data/informasi perencanaan pembangunan ekonomi</t>
  </si>
  <si>
    <t>3001.300101.12.001</t>
  </si>
  <si>
    <t>3001.300101.12.003</t>
  </si>
  <si>
    <t>Penyusunan perencanaan pengembangan pariwisata</t>
  </si>
  <si>
    <t>Penyusunan dokumen perencanaan sumber daya alam</t>
  </si>
  <si>
    <t>Penyusunan Indikator Ekonomi Daerah</t>
  </si>
  <si>
    <t>3001.300101.12.004</t>
  </si>
  <si>
    <t>3001.300101.12.006</t>
  </si>
  <si>
    <t>3001.300101.12.007</t>
  </si>
  <si>
    <t>Koordinasi perencanaan dan monev pembangunan bidang ekonomi</t>
  </si>
  <si>
    <t>3001.13</t>
  </si>
  <si>
    <t>Peningkatan kapasitas SDM Perencana Pembangunan Daerah</t>
  </si>
  <si>
    <t>3001.300101.13.001</t>
  </si>
  <si>
    <t>3001.300101.13.005</t>
  </si>
  <si>
    <t>Penyusunan RPJMD</t>
  </si>
  <si>
    <t>3001.300101.13.002</t>
  </si>
  <si>
    <t>3001.300101.13.003</t>
  </si>
  <si>
    <t>Penyusunan RKPD</t>
  </si>
  <si>
    <t>Penyusunan KU APBD</t>
  </si>
  <si>
    <t>Penyusunan PPAS</t>
  </si>
  <si>
    <t>Penyusunan Perencanaan dan Penganggaran DAK</t>
  </si>
  <si>
    <t>3001.300101.13.004</t>
  </si>
  <si>
    <t>3001.300101.13.006</t>
  </si>
  <si>
    <t>3001.300101.13.007</t>
  </si>
  <si>
    <t>3001.300101.13.008</t>
  </si>
  <si>
    <t>Monitoring,evaluasi dan pelaporan</t>
  </si>
  <si>
    <t>koordinasi penyusunan laporan keterangan Pertanggung Jawaban (LKPJ)</t>
  </si>
  <si>
    <t>3001.300101.13.009</t>
  </si>
  <si>
    <t>Pengumpulan, udating dan Analisis Sistem Informasi Pembangunan Daerah</t>
  </si>
  <si>
    <t>3001.300101.13.010</t>
  </si>
  <si>
    <t>3001.14</t>
  </si>
  <si>
    <t>3001.300101.14.003</t>
  </si>
  <si>
    <t>3001.300101.14.005</t>
  </si>
  <si>
    <t>3001.300101.14.006</t>
  </si>
  <si>
    <t>3001.300101.14.007</t>
  </si>
  <si>
    <t>Pengembangan partisipasi masyarakat dalam perumusan program dan kebijakan layanan publik</t>
  </si>
  <si>
    <t>3001.300101.14.001</t>
  </si>
  <si>
    <t>3001.300101.14.002</t>
  </si>
  <si>
    <t>Koordinasi perencanaan pembangunan bidang sosial dan budaya</t>
  </si>
  <si>
    <t>3001.300101.14.004</t>
  </si>
  <si>
    <t>Koordinasi dan Fasilitasi Program KHPPIA</t>
  </si>
  <si>
    <t>Koordinasi Penanggulangan Kemiskinan</t>
  </si>
  <si>
    <t>Penelitian dan pengembangan Bidang Pengembangan Wilayah</t>
  </si>
  <si>
    <t>3002.11</t>
  </si>
  <si>
    <t>3002.300102.11.001</t>
  </si>
  <si>
    <t>3002.300102.11.002</t>
  </si>
  <si>
    <t>3002.300101.11.003</t>
  </si>
  <si>
    <t>3002.300101.11.004</t>
  </si>
  <si>
    <t>3002.300101.11.005</t>
  </si>
  <si>
    <t>3002.300101.11.006</t>
  </si>
  <si>
    <t>3002.300101.15.007</t>
  </si>
  <si>
    <t>Pengumpulan, updating  data informasi capaian target kinerja</t>
  </si>
  <si>
    <t>Pelayanan Admnistrasi Perkantoran</t>
  </si>
  <si>
    <t>Penyusunan Indeks Kepuasan Layanan Infrastruktur</t>
  </si>
  <si>
    <t>NIP. 19670802 198603 1 003</t>
  </si>
  <si>
    <t>Penyusunan Pelaporan Keuangan Akhir Tahun</t>
  </si>
  <si>
    <t xml:space="preserve">penelitian dan pengembangaan bidang pemerintah, sosial dan budaya </t>
  </si>
  <si>
    <t>SUMBER DANA</t>
  </si>
  <si>
    <t>Jumlah Realisasi s/d bulan Lalu</t>
  </si>
  <si>
    <t>Jumlah Realisasi s/d bulan ini</t>
  </si>
  <si>
    <t>Realisasi Bulan Juni</t>
  </si>
  <si>
    <t>APBD</t>
  </si>
  <si>
    <t>Program Peningkatan Perencanaan, Pengendalian dan Pelaporan Capaian Kinerja</t>
  </si>
  <si>
    <t>Fisik</t>
  </si>
  <si>
    <t>Keuangan</t>
  </si>
  <si>
    <t>Selisih %</t>
  </si>
  <si>
    <t>Drs. H. Nanang Saefudin, M. Si.</t>
  </si>
  <si>
    <t>LAPORAN REKAPITULASI EVALUASI PELAKSANAAN KEGIATAN PERANGKAT DAERAH</t>
  </si>
  <si>
    <t>PAGU ANGGARAN PERUBAHAN</t>
  </si>
  <si>
    <t>Koordinasi Perencanaan Pengembangan Wilayah Strategis dan Cepat Tumbuh</t>
  </si>
  <si>
    <t>Penyusunan dan Pengumpulan Data/Informasi Kebutuhan Penyusunan Dokumen Perencanaan</t>
  </si>
  <si>
    <t>Triwulan : IV</t>
  </si>
  <si>
    <t>PROGRES SAAT INI</t>
  </si>
  <si>
    <t>1 dokumen Transportasi Perkotaan</t>
  </si>
  <si>
    <t>1 dokumen Indeks Kepuasan Layanan Infrastruktur</t>
  </si>
  <si>
    <t>1 dokumen perencanaan perumahan</t>
  </si>
  <si>
    <t>1 dokumen perencanaan permukiman</t>
  </si>
  <si>
    <t xml:space="preserve">dokumen, FS Masjid Agung, dokumen Rakorbid, dokumen pendampingan RTRW dan dokumen FS Islamic </t>
  </si>
  <si>
    <t>bintek perencana</t>
  </si>
  <si>
    <t>1 dokumen RPJMD</t>
  </si>
  <si>
    <t>1 dokumen RKPD</t>
  </si>
  <si>
    <t>1 dokumen KU APBD</t>
  </si>
  <si>
    <t>1 dokumen PPAS</t>
  </si>
  <si>
    <t>1 dokumen DAK Murni dan 1 Dokumen Perubahan</t>
  </si>
  <si>
    <t>1 dokumen data informasi capaian target kinerja</t>
  </si>
  <si>
    <t>dokumen monev</t>
  </si>
  <si>
    <t>1 dokumen LKPJ</t>
  </si>
  <si>
    <t>dokumen SIPD</t>
  </si>
  <si>
    <t>PROGRES FISIK</t>
  </si>
  <si>
    <t>OUTPUT</t>
  </si>
  <si>
    <t>Buku kajian Rencana Tenaga Kerja Daerah Kota Serang</t>
  </si>
  <si>
    <t>Buku penyusunan kajian Fiskal Kota serang</t>
  </si>
  <si>
    <t>Buku Eko Wisata Kasemen</t>
  </si>
  <si>
    <t>Penyusunan NTP (nilai tukar petani) dan NTN (nilai Tukar Nelayan)</t>
  </si>
  <si>
    <t>Penyusunan dokumen ECOR</t>
  </si>
  <si>
    <t>Laporan Evaluasi mitra bidang Ekonomi dan SDA</t>
  </si>
  <si>
    <t>Buku Indeks Tingkat Kepuasn Masyarakat dan Buku Survey Kebutuhan Masyarakat</t>
  </si>
  <si>
    <t>Buku Indeks Gini Ratio dan Buku Monev dan LP2KD</t>
  </si>
  <si>
    <t>Laporan Monev Ranham dan sosialisasi Bela Negara</t>
  </si>
  <si>
    <t>Buku Updating Profil Gender dan Anak, Pengarusutamaan Gender, Rakorbid, Kota Sehat</t>
  </si>
  <si>
    <t>Rapat Musrenbang Anak, Capacity building Forum Anak, Rakor KLA</t>
  </si>
  <si>
    <t>Rakorbid perencanaan awal dan rakor dibidang pendidikan</t>
  </si>
  <si>
    <t>Dokumen  Indeks Pembangunan Manusia dan Inkesra</t>
  </si>
  <si>
    <t>Dokumen Kajian Strategi Pencapaian Standar Minimal Bidang Pendidikan di Kota Serang</t>
  </si>
  <si>
    <t>Dokumen Indeks Kebahagiaan Masyarakat Kota Serang</t>
  </si>
  <si>
    <t>Dokumen Identifikasi banjir dan Rencana Aksi</t>
  </si>
  <si>
    <t>Dokumen Kajian Kelayakan Lokasi PKL di Pasar Lama dan Royal</t>
  </si>
  <si>
    <t>Dokumen Kajian pengembangan TPA Cilowong sebagai Sumber Energi dan Material Daur Ulang</t>
  </si>
  <si>
    <t>Dokumen Kajian kelayakan TPSA Cilowong sebagai PLTSa</t>
  </si>
  <si>
    <t>E-Hibah Bansos, E-RKA, E-Dalev dan Siska</t>
  </si>
  <si>
    <t>ANGGARAN KAS s.d November</t>
  </si>
  <si>
    <t>1 dok renstra, 1 dok renja dan 1 dok renja-Perubahan</t>
  </si>
  <si>
    <t>RKA 2020, DPA 2020, RKAP 2019 dan DPPA 2019</t>
  </si>
  <si>
    <t>Laporan bulanan, Triwulanan, PK, LKJiP</t>
  </si>
  <si>
    <t>Buku Profil dan Selayang Pandang</t>
  </si>
  <si>
    <t>dokumen Masterplan Cepat Tumbuh</t>
  </si>
  <si>
    <t>Dokumen RTH Alun-alun Kecamatan, FS IPA Kawasan Banten lama, Penyusunan Renstra DAK bidang PUPR dan Perencanaan Infrastruktur Perencanaan</t>
  </si>
  <si>
    <t>Bulan     : Desember 2019</t>
  </si>
  <si>
    <t>Serang,  2 Januari 2020</t>
  </si>
  <si>
    <t>jasa pelayanan administrasi perkantoran yang berkualitas 100%, 12 bulan</t>
  </si>
  <si>
    <t>14 unit perlengkapan, 28 unit peralatan dan 21 meubelair</t>
  </si>
  <si>
    <t>1 gedung, 24 unit kendis, 94 perlengkapan dan 98 unit peralatan gedung kantor</t>
  </si>
  <si>
    <t>Bimtek aparatur Bappeda</t>
  </si>
  <si>
    <t>Pemberitaan informasi dan dokumentasi</t>
  </si>
  <si>
    <t>1 dokumen pengelola aset dan BMD</t>
  </si>
  <si>
    <t>12 bulan</t>
  </si>
  <si>
    <t>Tersedianya pembiayaan bagi kegiatan dinas luar daerah dan dalam daerah 12 bulan</t>
  </si>
  <si>
    <t>1 dok CALK</t>
  </si>
  <si>
    <t>1 Dok Laporan Keuangan Semesteran dan 1 dok Laporan Keuangan Tahunan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</si>
</sst>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name val="Tahoma"/>
      <family val="2"/>
    </font>
    <font>
      <sz val="8"/>
      <name val="Calibri"/>
      <family val="2"/>
      <charset val="1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color rgb="FFFF0000"/>
      <name val="Tahoma"/>
      <family val="2"/>
    </font>
    <font>
      <sz val="8"/>
      <color theme="0"/>
      <name val="Tahoma"/>
      <family val="2"/>
    </font>
    <font>
      <b/>
      <i/>
      <sz val="8"/>
      <name val="Tahoma"/>
      <family val="2"/>
    </font>
    <font>
      <b/>
      <i/>
      <sz val="8"/>
      <color rgb="FFFF0000"/>
      <name val="Tahoma"/>
      <family val="2"/>
    </font>
    <font>
      <sz val="8"/>
      <color rgb="FFFF0000"/>
      <name val="Calibri"/>
      <family val="2"/>
      <charset val="1"/>
      <scheme val="minor"/>
    </font>
    <font>
      <b/>
      <u/>
      <sz val="8"/>
      <name val="Tahoma"/>
      <family val="2"/>
    </font>
    <font>
      <b/>
      <sz val="8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3"/>
      <color theme="1"/>
      <name val="Cambria"/>
      <family val="1"/>
      <scheme val="major"/>
    </font>
    <font>
      <b/>
      <sz val="9"/>
      <name val="Tahoma"/>
      <family val="2"/>
    </font>
    <font>
      <sz val="9"/>
      <name val="Tahoma"/>
      <family val="2"/>
    </font>
    <font>
      <b/>
      <u/>
      <sz val="9"/>
      <color theme="1"/>
      <name val="Tahoma"/>
      <family val="2"/>
    </font>
    <font>
      <b/>
      <i/>
      <sz val="8"/>
      <color theme="1"/>
      <name val="Tahoma"/>
      <family val="2"/>
    </font>
    <font>
      <sz val="8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Calibri"/>
      <family val="2"/>
      <charset val="1"/>
      <scheme val="minor"/>
    </font>
    <font>
      <b/>
      <u/>
      <sz val="9"/>
      <name val="Tahoma"/>
      <family val="2"/>
    </font>
    <font>
      <b/>
      <sz val="7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/>
    <xf numFmtId="43" fontId="5" fillId="0" borderId="0" xfId="0" applyNumberFormat="1" applyFont="1" applyBorder="1" applyAlignment="1">
      <alignment horizontal="right" vertical="center"/>
    </xf>
    <xf numFmtId="39" fontId="5" fillId="0" borderId="0" xfId="0" applyNumberFormat="1" applyFont="1" applyBorder="1" applyAlignment="1">
      <alignment horizontal="right" vertical="top"/>
    </xf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top"/>
    </xf>
    <xf numFmtId="0" fontId="4" fillId="2" borderId="2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vertical="top" wrapText="1"/>
    </xf>
    <xf numFmtId="41" fontId="6" fillId="0" borderId="10" xfId="2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41" fontId="5" fillId="2" borderId="16" xfId="2" applyFont="1" applyFill="1" applyBorder="1" applyAlignment="1">
      <alignment vertical="top" wrapText="1"/>
    </xf>
    <xf numFmtId="0" fontId="5" fillId="2" borderId="17" xfId="0" applyFont="1" applyFill="1" applyBorder="1"/>
    <xf numFmtId="41" fontId="7" fillId="0" borderId="10" xfId="2" applyFont="1" applyFill="1" applyBorder="1" applyAlignment="1">
      <alignment vertical="top" wrapText="1"/>
    </xf>
    <xf numFmtId="0" fontId="8" fillId="2" borderId="25" xfId="0" applyFont="1" applyFill="1" applyBorder="1" applyAlignment="1">
      <alignment horizontal="center" vertical="top" wrapText="1"/>
    </xf>
    <xf numFmtId="0" fontId="8" fillId="2" borderId="26" xfId="0" applyFont="1" applyFill="1" applyBorder="1" applyAlignment="1">
      <alignment vertical="top" wrapText="1"/>
    </xf>
    <xf numFmtId="0" fontId="8" fillId="2" borderId="27" xfId="0" applyFont="1" applyFill="1" applyBorder="1" applyAlignment="1">
      <alignment horizontal="left" vertical="top" wrapText="1"/>
    </xf>
    <xf numFmtId="39" fontId="4" fillId="2" borderId="26" xfId="1" applyNumberFormat="1" applyFont="1" applyFill="1" applyBorder="1" applyAlignment="1">
      <alignment horizontal="right" vertical="top" wrapText="1"/>
    </xf>
    <xf numFmtId="2" fontId="4" fillId="2" borderId="26" xfId="0" applyNumberFormat="1" applyFont="1" applyFill="1" applyBorder="1" applyAlignment="1">
      <alignment horizontal="center" vertical="top" wrapText="1"/>
    </xf>
    <xf numFmtId="2" fontId="4" fillId="2" borderId="26" xfId="2" applyNumberFormat="1" applyFont="1" applyFill="1" applyBorder="1" applyAlignment="1">
      <alignment horizontal="center" vertical="top" wrapText="1"/>
    </xf>
    <xf numFmtId="43" fontId="4" fillId="0" borderId="26" xfId="1" quotePrefix="1" applyNumberFormat="1" applyFont="1" applyFill="1" applyBorder="1" applyAlignment="1">
      <alignment vertical="top" wrapText="1"/>
    </xf>
    <xf numFmtId="2" fontId="4" fillId="2" borderId="28" xfId="0" applyNumberFormat="1" applyFont="1" applyFill="1" applyBorder="1" applyAlignment="1">
      <alignment horizontal="center" vertical="top" wrapText="1"/>
    </xf>
    <xf numFmtId="41" fontId="4" fillId="2" borderId="29" xfId="2" applyFont="1" applyFill="1" applyBorder="1" applyAlignment="1">
      <alignment horizontal="right" vertical="top" wrapText="1"/>
    </xf>
    <xf numFmtId="2" fontId="5" fillId="2" borderId="26" xfId="0" applyNumberFormat="1" applyFont="1" applyFill="1" applyBorder="1" applyAlignment="1">
      <alignment horizontal="center" vertical="top" wrapText="1"/>
    </xf>
    <xf numFmtId="2" fontId="4" fillId="2" borderId="28" xfId="0" applyNumberFormat="1" applyFont="1" applyFill="1" applyBorder="1" applyAlignment="1">
      <alignment horizontal="center" vertical="center"/>
    </xf>
    <xf numFmtId="43" fontId="3" fillId="0" borderId="0" xfId="0" applyNumberFormat="1" applyFont="1"/>
    <xf numFmtId="0" fontId="4" fillId="2" borderId="26" xfId="0" applyFont="1" applyFill="1" applyBorder="1" applyAlignment="1">
      <alignment vertical="top" wrapText="1"/>
    </xf>
    <xf numFmtId="0" fontId="4" fillId="2" borderId="30" xfId="0" applyFont="1" applyFill="1" applyBorder="1" applyAlignment="1">
      <alignment horizontal="left" vertical="top" wrapText="1"/>
    </xf>
    <xf numFmtId="39" fontId="5" fillId="2" borderId="26" xfId="1" applyNumberFormat="1" applyFont="1" applyFill="1" applyBorder="1" applyAlignment="1">
      <alignment horizontal="right" vertical="top" wrapText="1"/>
    </xf>
    <xf numFmtId="43" fontId="5" fillId="0" borderId="26" xfId="1" applyNumberFormat="1" applyFont="1" applyFill="1" applyBorder="1" applyAlignment="1">
      <alignment vertical="top" wrapText="1"/>
    </xf>
    <xf numFmtId="2" fontId="5" fillId="2" borderId="28" xfId="0" applyNumberFormat="1" applyFont="1" applyFill="1" applyBorder="1" applyAlignment="1">
      <alignment horizontal="center" vertical="top" wrapText="1"/>
    </xf>
    <xf numFmtId="2" fontId="5" fillId="2" borderId="28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top" wrapText="1"/>
    </xf>
    <xf numFmtId="43" fontId="4" fillId="2" borderId="26" xfId="1" quotePrefix="1" applyNumberFormat="1" applyFont="1" applyFill="1" applyBorder="1" applyAlignment="1">
      <alignment vertical="top" wrapText="1"/>
    </xf>
    <xf numFmtId="0" fontId="5" fillId="2" borderId="25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vertical="top" wrapText="1"/>
    </xf>
    <xf numFmtId="0" fontId="5" fillId="2" borderId="30" xfId="0" applyFont="1" applyFill="1" applyBorder="1" applyAlignment="1">
      <alignment horizontal="left" vertical="top" wrapText="1"/>
    </xf>
    <xf numFmtId="39" fontId="5" fillId="3" borderId="26" xfId="0" applyNumberFormat="1" applyFont="1" applyFill="1" applyBorder="1" applyAlignment="1">
      <alignment horizontal="right" vertical="top" wrapText="1"/>
    </xf>
    <xf numFmtId="41" fontId="5" fillId="2" borderId="29" xfId="2" applyFont="1" applyFill="1" applyBorder="1" applyAlignment="1">
      <alignment horizontal="right" vertical="top" wrapText="1"/>
    </xf>
    <xf numFmtId="43" fontId="5" fillId="2" borderId="26" xfId="0" applyNumberFormat="1" applyFont="1" applyFill="1" applyBorder="1" applyAlignment="1">
      <alignment horizontal="center" vertical="top" wrapText="1"/>
    </xf>
    <xf numFmtId="39" fontId="5" fillId="0" borderId="26" xfId="0" applyNumberFormat="1" applyFont="1" applyFill="1" applyBorder="1" applyAlignment="1">
      <alignment horizontal="right" vertical="top" wrapText="1"/>
    </xf>
    <xf numFmtId="0" fontId="5" fillId="2" borderId="30" xfId="0" applyFont="1" applyFill="1" applyBorder="1" applyAlignment="1">
      <alignment vertical="top" wrapText="1"/>
    </xf>
    <xf numFmtId="41" fontId="5" fillId="2" borderId="26" xfId="2" applyFont="1" applyFill="1" applyBorder="1" applyAlignment="1">
      <alignment horizontal="right" vertical="top" wrapText="1"/>
    </xf>
    <xf numFmtId="43" fontId="5" fillId="2" borderId="26" xfId="1" applyNumberFormat="1" applyFont="1" applyFill="1" applyBorder="1" applyAlignment="1">
      <alignment vertical="top" wrapText="1"/>
    </xf>
    <xf numFmtId="39" fontId="4" fillId="2" borderId="26" xfId="1" applyNumberFormat="1" applyFont="1" applyFill="1" applyBorder="1" applyAlignment="1">
      <alignment horizontal="center" vertical="top" wrapText="1"/>
    </xf>
    <xf numFmtId="164" fontId="4" fillId="0" borderId="0" xfId="2" applyNumberFormat="1" applyFont="1"/>
    <xf numFmtId="43" fontId="4" fillId="0" borderId="0" xfId="0" applyNumberFormat="1" applyFont="1"/>
    <xf numFmtId="43" fontId="5" fillId="2" borderId="26" xfId="0" applyNumberFormat="1" applyFont="1" applyFill="1" applyBorder="1" applyAlignment="1">
      <alignment horizontal="right" vertical="top" wrapText="1"/>
    </xf>
    <xf numFmtId="39" fontId="5" fillId="2" borderId="26" xfId="0" applyNumberFormat="1" applyFont="1" applyFill="1" applyBorder="1" applyAlignment="1">
      <alignment horizontal="right" vertical="top" wrapText="1"/>
    </xf>
    <xf numFmtId="43" fontId="5" fillId="2" borderId="26" xfId="2" applyNumberFormat="1" applyFont="1" applyFill="1" applyBorder="1" applyAlignment="1">
      <alignment horizontal="right" vertical="top" wrapText="1"/>
    </xf>
    <xf numFmtId="0" fontId="5" fillId="2" borderId="27" xfId="0" applyFont="1" applyFill="1" applyBorder="1" applyAlignment="1">
      <alignment horizontal="left" vertical="top" wrapText="1"/>
    </xf>
    <xf numFmtId="43" fontId="5" fillId="2" borderId="26" xfId="1" applyFont="1" applyFill="1" applyBorder="1" applyAlignment="1">
      <alignment horizontal="right" vertical="top" wrapText="1"/>
    </xf>
    <xf numFmtId="2" fontId="5" fillId="2" borderId="28" xfId="0" applyNumberFormat="1" applyFont="1" applyFill="1" applyBorder="1" applyAlignment="1">
      <alignment horizontal="left" vertical="center" wrapText="1"/>
    </xf>
    <xf numFmtId="39" fontId="4" fillId="2" borderId="26" xfId="0" applyNumberFormat="1" applyFont="1" applyFill="1" applyBorder="1" applyAlignment="1">
      <alignment horizontal="right" vertical="top" wrapText="1"/>
    </xf>
    <xf numFmtId="43" fontId="4" fillId="2" borderId="26" xfId="2" applyNumberFormat="1" applyFont="1" applyFill="1" applyBorder="1" applyAlignment="1">
      <alignment horizontal="right" vertical="top" wrapText="1"/>
    </xf>
    <xf numFmtId="0" fontId="5" fillId="0" borderId="30" xfId="0" applyFont="1" applyFill="1" applyBorder="1" applyAlignment="1">
      <alignment horizontal="left" vertical="top" wrapText="1"/>
    </xf>
    <xf numFmtId="0" fontId="8" fillId="2" borderId="30" xfId="0" applyFont="1" applyFill="1" applyBorder="1" applyAlignment="1">
      <alignment vertical="top" wrapText="1"/>
    </xf>
    <xf numFmtId="43" fontId="8" fillId="2" borderId="26" xfId="2" applyNumberFormat="1" applyFont="1" applyFill="1" applyBorder="1" applyAlignment="1">
      <alignment horizontal="right" vertical="top" wrapText="1"/>
    </xf>
    <xf numFmtId="43" fontId="5" fillId="2" borderId="26" xfId="0" applyNumberFormat="1" applyFont="1" applyFill="1" applyBorder="1" applyAlignment="1">
      <alignment vertical="top" wrapText="1"/>
    </xf>
    <xf numFmtId="43" fontId="4" fillId="2" borderId="26" xfId="0" applyNumberFormat="1" applyFont="1" applyFill="1" applyBorder="1" applyAlignment="1">
      <alignment vertical="top" wrapText="1"/>
    </xf>
    <xf numFmtId="43" fontId="8" fillId="2" borderId="26" xfId="0" applyNumberFormat="1" applyFont="1" applyFill="1" applyBorder="1" applyAlignment="1">
      <alignment horizontal="right" vertical="top" wrapText="1"/>
    </xf>
    <xf numFmtId="2" fontId="5" fillId="2" borderId="28" xfId="0" applyNumberFormat="1" applyFont="1" applyFill="1" applyBorder="1" applyAlignment="1">
      <alignment horizontal="left" vertical="top" wrapText="1"/>
    </xf>
    <xf numFmtId="2" fontId="5" fillId="2" borderId="28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top" wrapText="1"/>
    </xf>
    <xf numFmtId="39" fontId="5" fillId="0" borderId="26" xfId="0" applyNumberFormat="1" applyFont="1" applyFill="1" applyBorder="1" applyAlignment="1">
      <alignment horizontal="right" vertical="top"/>
    </xf>
    <xf numFmtId="164" fontId="5" fillId="2" borderId="28" xfId="2" applyNumberFormat="1" applyFont="1" applyFill="1" applyBorder="1" applyAlignment="1">
      <alignment horizontal="right" vertical="top"/>
    </xf>
    <xf numFmtId="0" fontId="5" fillId="2" borderId="30" xfId="0" applyFont="1" applyFill="1" applyBorder="1" applyAlignment="1">
      <alignment horizontal="center" vertical="top" wrapText="1"/>
    </xf>
    <xf numFmtId="0" fontId="9" fillId="2" borderId="25" xfId="0" applyFont="1" applyFill="1" applyBorder="1" applyAlignment="1">
      <alignment horizontal="center" vertical="top" wrapText="1"/>
    </xf>
    <xf numFmtId="2" fontId="6" fillId="2" borderId="28" xfId="0" applyNumberFormat="1" applyFont="1" applyFill="1" applyBorder="1" applyAlignment="1">
      <alignment horizontal="left" vertical="center" wrapText="1"/>
    </xf>
    <xf numFmtId="0" fontId="10" fillId="0" borderId="0" xfId="0" applyFont="1"/>
    <xf numFmtId="39" fontId="6" fillId="0" borderId="26" xfId="0" applyNumberFormat="1" applyFont="1" applyFill="1" applyBorder="1" applyAlignment="1">
      <alignment horizontal="right" vertical="top" wrapText="1"/>
    </xf>
    <xf numFmtId="43" fontId="10" fillId="0" borderId="0" xfId="0" applyNumberFormat="1" applyFont="1"/>
    <xf numFmtId="0" fontId="5" fillId="0" borderId="0" xfId="0" applyFont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horizontal="left" vertical="top" wrapText="1"/>
    </xf>
    <xf numFmtId="0" fontId="5" fillId="2" borderId="33" xfId="0" applyFont="1" applyFill="1" applyBorder="1" applyAlignment="1">
      <alignment horizontal="left" vertical="top" wrapText="1"/>
    </xf>
    <xf numFmtId="39" fontId="5" fillId="2" borderId="32" xfId="0" applyNumberFormat="1" applyFont="1" applyFill="1" applyBorder="1" applyAlignment="1">
      <alignment horizontal="right" vertical="top" wrapText="1"/>
    </xf>
    <xf numFmtId="2" fontId="5" fillId="2" borderId="32" xfId="0" applyNumberFormat="1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41" fontId="5" fillId="2" borderId="35" xfId="2" applyFont="1" applyFill="1" applyBorder="1" applyAlignment="1">
      <alignment horizontal="right" vertical="top" wrapText="1"/>
    </xf>
    <xf numFmtId="0" fontId="5" fillId="2" borderId="34" xfId="0" applyFont="1" applyFill="1" applyBorder="1" applyAlignment="1">
      <alignment horizontal="center" vertical="center" wrapText="1"/>
    </xf>
    <xf numFmtId="39" fontId="5" fillId="0" borderId="32" xfId="0" applyNumberFormat="1" applyFont="1" applyFill="1" applyBorder="1" applyAlignment="1">
      <alignment horizontal="right" vertical="top" wrapText="1"/>
    </xf>
    <xf numFmtId="0" fontId="3" fillId="2" borderId="0" xfId="0" applyFont="1" applyFill="1"/>
    <xf numFmtId="39" fontId="3" fillId="0" borderId="0" xfId="0" applyNumberFormat="1" applyFont="1"/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0" fontId="12" fillId="0" borderId="0" xfId="0" applyFont="1"/>
    <xf numFmtId="39" fontId="4" fillId="4" borderId="26" xfId="0" applyNumberFormat="1" applyFont="1" applyFill="1" applyBorder="1" applyAlignment="1">
      <alignment horizontal="right" vertical="top" wrapText="1"/>
    </xf>
    <xf numFmtId="39" fontId="4" fillId="5" borderId="26" xfId="1" applyNumberFormat="1" applyFont="1" applyFill="1" applyBorder="1" applyAlignment="1">
      <alignment horizontal="right" vertical="top" wrapText="1"/>
    </xf>
    <xf numFmtId="164" fontId="4" fillId="4" borderId="26" xfId="2" quotePrefix="1" applyNumberFormat="1" applyFont="1" applyFill="1" applyBorder="1" applyAlignment="1">
      <alignment horizontal="right" vertical="top" wrapText="1"/>
    </xf>
    <xf numFmtId="43" fontId="4" fillId="4" borderId="26" xfId="1" quotePrefix="1" applyNumberFormat="1" applyFont="1" applyFill="1" applyBorder="1" applyAlignment="1">
      <alignment horizontal="right" vertical="top" wrapText="1"/>
    </xf>
    <xf numFmtId="0" fontId="4" fillId="2" borderId="19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0" fillId="0" borderId="37" xfId="0" applyBorder="1"/>
    <xf numFmtId="0" fontId="14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41" fontId="13" fillId="0" borderId="38" xfId="2" applyFont="1" applyBorder="1" applyAlignment="1">
      <alignment horizontal="center" vertical="center"/>
    </xf>
    <xf numFmtId="41" fontId="13" fillId="0" borderId="38" xfId="2" applyFont="1" applyBorder="1"/>
    <xf numFmtId="41" fontId="13" fillId="3" borderId="38" xfId="0" applyNumberFormat="1" applyFont="1" applyFill="1" applyBorder="1"/>
    <xf numFmtId="2" fontId="13" fillId="0" borderId="38" xfId="0" applyNumberFormat="1" applyFont="1" applyBorder="1"/>
    <xf numFmtId="0" fontId="14" fillId="0" borderId="38" xfId="0" applyFont="1" applyBorder="1"/>
    <xf numFmtId="0" fontId="0" fillId="0" borderId="38" xfId="0" applyBorder="1"/>
    <xf numFmtId="0" fontId="13" fillId="0" borderId="38" xfId="0" applyFont="1" applyBorder="1" applyAlignment="1">
      <alignment horizontal="center" vertical="center" wrapText="1"/>
    </xf>
    <xf numFmtId="41" fontId="13" fillId="3" borderId="38" xfId="2" applyFont="1" applyFill="1" applyBorder="1" applyAlignment="1">
      <alignment horizontal="center" vertical="center" wrapText="1"/>
    </xf>
    <xf numFmtId="41" fontId="13" fillId="0" borderId="38" xfId="2" applyFont="1" applyBorder="1" applyAlignment="1">
      <alignment horizontal="center" vertical="center" wrapText="1"/>
    </xf>
    <xf numFmtId="41" fontId="13" fillId="3" borderId="38" xfId="0" applyNumberFormat="1" applyFont="1" applyFill="1" applyBorder="1" applyAlignment="1">
      <alignment horizontal="center" vertical="center" wrapText="1"/>
    </xf>
    <xf numFmtId="2" fontId="13" fillId="0" borderId="38" xfId="0" applyNumberFormat="1" applyFont="1" applyBorder="1" applyAlignment="1">
      <alignment horizontal="right" vertical="center" wrapText="1"/>
    </xf>
    <xf numFmtId="0" fontId="0" fillId="0" borderId="39" xfId="0" applyBorder="1"/>
    <xf numFmtId="0" fontId="5" fillId="3" borderId="26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10" fillId="2" borderId="0" xfId="0" applyFont="1" applyFill="1"/>
    <xf numFmtId="43" fontId="5" fillId="2" borderId="0" xfId="0" applyNumberFormat="1" applyFont="1" applyFill="1"/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/>
    <xf numFmtId="43" fontId="5" fillId="2" borderId="26" xfId="1" applyNumberFormat="1" applyFont="1" applyFill="1" applyBorder="1" applyAlignment="1">
      <alignment horizontal="right" vertical="center" wrapText="1"/>
    </xf>
    <xf numFmtId="43" fontId="4" fillId="2" borderId="26" xfId="1" quotePrefix="1" applyNumberFormat="1" applyFont="1" applyFill="1" applyBorder="1" applyAlignment="1">
      <alignment horizontal="right" vertical="center" wrapText="1"/>
    </xf>
    <xf numFmtId="43" fontId="4" fillId="2" borderId="26" xfId="1" applyNumberFormat="1" applyFont="1" applyFill="1" applyBorder="1" applyAlignment="1">
      <alignment horizontal="right" vertical="center" wrapText="1"/>
    </xf>
    <xf numFmtId="43" fontId="5" fillId="2" borderId="26" xfId="0" applyNumberFormat="1" applyFont="1" applyFill="1" applyBorder="1" applyAlignment="1">
      <alignment horizontal="right" vertical="center" wrapText="1"/>
    </xf>
    <xf numFmtId="43" fontId="5" fillId="2" borderId="26" xfId="2" applyNumberFormat="1" applyFont="1" applyFill="1" applyBorder="1" applyAlignment="1">
      <alignment horizontal="right" vertical="center" wrapText="1"/>
    </xf>
    <xf numFmtId="43" fontId="4" fillId="2" borderId="26" xfId="0" applyNumberFormat="1" applyFont="1" applyFill="1" applyBorder="1" applyAlignment="1">
      <alignment horizontal="right" vertical="center" wrapText="1"/>
    </xf>
    <xf numFmtId="43" fontId="4" fillId="2" borderId="26" xfId="2" applyNumberFormat="1" applyFont="1" applyFill="1" applyBorder="1" applyAlignment="1">
      <alignment horizontal="right" vertical="center" wrapText="1"/>
    </xf>
    <xf numFmtId="43" fontId="5" fillId="2" borderId="3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9" fontId="4" fillId="2" borderId="26" xfId="1" applyNumberFormat="1" applyFont="1" applyFill="1" applyBorder="1" applyAlignment="1">
      <alignment horizontal="right" vertical="center" wrapText="1"/>
    </xf>
    <xf numFmtId="39" fontId="5" fillId="2" borderId="26" xfId="1" applyNumberFormat="1" applyFont="1" applyFill="1" applyBorder="1" applyAlignment="1">
      <alignment horizontal="right" vertical="center" wrapText="1"/>
    </xf>
    <xf numFmtId="43" fontId="5" fillId="2" borderId="26" xfId="1" applyFont="1" applyFill="1" applyBorder="1" applyAlignment="1">
      <alignment horizontal="right" vertical="center" wrapText="1"/>
    </xf>
    <xf numFmtId="43" fontId="8" fillId="2" borderId="26" xfId="2" applyNumberFormat="1" applyFont="1" applyFill="1" applyBorder="1" applyAlignment="1">
      <alignment horizontal="right" vertical="center" wrapText="1"/>
    </xf>
    <xf numFmtId="43" fontId="5" fillId="2" borderId="26" xfId="0" applyNumberFormat="1" applyFont="1" applyFill="1" applyBorder="1" applyAlignment="1">
      <alignment vertical="center" wrapText="1"/>
    </xf>
    <xf numFmtId="43" fontId="4" fillId="2" borderId="26" xfId="0" applyNumberFormat="1" applyFont="1" applyFill="1" applyBorder="1" applyAlignment="1">
      <alignment vertical="center" wrapText="1"/>
    </xf>
    <xf numFmtId="43" fontId="8" fillId="2" borderId="26" xfId="0" applyNumberFormat="1" applyFont="1" applyFill="1" applyBorder="1" applyAlignment="1">
      <alignment horizontal="right" vertical="center" wrapText="1"/>
    </xf>
    <xf numFmtId="39" fontId="5" fillId="2" borderId="26" xfId="0" applyNumberFormat="1" applyFont="1" applyFill="1" applyBorder="1" applyAlignment="1">
      <alignment horizontal="right" vertical="center" wrapText="1"/>
    </xf>
    <xf numFmtId="39" fontId="5" fillId="2" borderId="3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4" fillId="2" borderId="26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39" fontId="4" fillId="2" borderId="26" xfId="1" applyNumberFormat="1" applyFont="1" applyFill="1" applyBorder="1" applyAlignment="1">
      <alignment horizontal="center" vertical="center" wrapText="1"/>
    </xf>
    <xf numFmtId="2" fontId="5" fillId="2" borderId="32" xfId="0" applyNumberFormat="1" applyFont="1" applyFill="1" applyBorder="1" applyAlignment="1">
      <alignment horizontal="center" vertical="center" wrapText="1"/>
    </xf>
    <xf numFmtId="2" fontId="4" fillId="2" borderId="26" xfId="2" applyNumberFormat="1" applyFont="1" applyFill="1" applyBorder="1" applyAlignment="1">
      <alignment horizontal="center" vertical="center" wrapText="1"/>
    </xf>
    <xf numFmtId="39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2" fontId="4" fillId="2" borderId="2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4" fillId="2" borderId="29" xfId="2" applyNumberFormat="1" applyFont="1" applyFill="1" applyBorder="1" applyAlignment="1">
      <alignment horizontal="right" vertical="center" wrapText="1"/>
    </xf>
    <xf numFmtId="164" fontId="5" fillId="2" borderId="29" xfId="2" applyNumberFormat="1" applyFont="1" applyFill="1" applyBorder="1" applyAlignment="1">
      <alignment horizontal="right" vertical="center" wrapText="1"/>
    </xf>
    <xf numFmtId="164" fontId="5" fillId="2" borderId="35" xfId="2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2" fontId="5" fillId="2" borderId="3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26" xfId="0" applyFont="1" applyBorder="1" applyAlignment="1">
      <alignment vertical="center" wrapText="1"/>
    </xf>
    <xf numFmtId="0" fontId="20" fillId="0" borderId="26" xfId="0" applyFont="1" applyBorder="1" applyAlignment="1">
      <alignment vertical="center"/>
    </xf>
    <xf numFmtId="0" fontId="20" fillId="0" borderId="19" xfId="0" applyFont="1" applyBorder="1" applyAlignment="1">
      <alignment vertical="center" wrapText="1"/>
    </xf>
    <xf numFmtId="0" fontId="20" fillId="0" borderId="27" xfId="0" applyFont="1" applyBorder="1" applyAlignment="1">
      <alignment vertical="center"/>
    </xf>
    <xf numFmtId="0" fontId="19" fillId="0" borderId="27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43" fontId="6" fillId="2" borderId="26" xfId="0" applyNumberFormat="1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vertical="center" wrapText="1"/>
    </xf>
    <xf numFmtId="43" fontId="6" fillId="2" borderId="26" xfId="2" applyNumberFormat="1" applyFont="1" applyFill="1" applyBorder="1" applyAlignment="1">
      <alignment horizontal="right" vertical="center" wrapText="1"/>
    </xf>
    <xf numFmtId="43" fontId="6" fillId="2" borderId="26" xfId="1" quotePrefix="1" applyNumberFormat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43" fontId="5" fillId="2" borderId="26" xfId="1" quotePrefix="1" applyNumberFormat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8" fillId="2" borderId="4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2" fontId="5" fillId="2" borderId="43" xfId="0" applyNumberFormat="1" applyFont="1" applyFill="1" applyBorder="1" applyAlignment="1">
      <alignment horizontal="center" vertical="center" wrapText="1"/>
    </xf>
    <xf numFmtId="2" fontId="5" fillId="2" borderId="44" xfId="0" applyNumberFormat="1" applyFont="1" applyFill="1" applyBorder="1" applyAlignment="1">
      <alignment horizontal="center" vertical="center" wrapText="1"/>
    </xf>
    <xf numFmtId="164" fontId="5" fillId="2" borderId="45" xfId="2" applyNumberFormat="1" applyFont="1" applyFill="1" applyBorder="1" applyAlignment="1">
      <alignment horizontal="righ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1" fontId="3" fillId="0" borderId="0" xfId="2" applyFont="1"/>
    <xf numFmtId="0" fontId="4" fillId="0" borderId="0" xfId="0" applyFont="1" applyFill="1" applyAlignment="1">
      <alignment horizontal="center"/>
    </xf>
    <xf numFmtId="43" fontId="5" fillId="0" borderId="0" xfId="0" applyNumberFormat="1" applyFont="1" applyFill="1"/>
    <xf numFmtId="0" fontId="5" fillId="0" borderId="0" xfId="0" applyFont="1" applyFill="1"/>
    <xf numFmtId="0" fontId="4" fillId="0" borderId="19" xfId="0" applyFont="1" applyFill="1" applyBorder="1" applyAlignment="1">
      <alignment horizontal="center" vertical="center"/>
    </xf>
    <xf numFmtId="43" fontId="4" fillId="0" borderId="26" xfId="1" quotePrefix="1" applyNumberFormat="1" applyFont="1" applyFill="1" applyBorder="1" applyAlignment="1">
      <alignment horizontal="right" vertical="center" wrapText="1"/>
    </xf>
    <xf numFmtId="43" fontId="5" fillId="0" borderId="26" xfId="1" applyNumberFormat="1" applyFont="1" applyFill="1" applyBorder="1" applyAlignment="1">
      <alignment horizontal="right" vertical="center" wrapText="1"/>
    </xf>
    <xf numFmtId="43" fontId="5" fillId="0" borderId="26" xfId="1" quotePrefix="1" applyNumberFormat="1" applyFont="1" applyFill="1" applyBorder="1" applyAlignment="1">
      <alignment horizontal="right" vertical="center" wrapText="1"/>
    </xf>
    <xf numFmtId="39" fontId="4" fillId="0" borderId="26" xfId="1" applyNumberFormat="1" applyFont="1" applyFill="1" applyBorder="1" applyAlignment="1">
      <alignment horizontal="right" vertical="center" wrapText="1"/>
    </xf>
    <xf numFmtId="43" fontId="4" fillId="0" borderId="26" xfId="1" applyNumberFormat="1" applyFont="1" applyFill="1" applyBorder="1" applyAlignment="1">
      <alignment horizontal="right" vertical="center" wrapText="1"/>
    </xf>
    <xf numFmtId="43" fontId="5" fillId="0" borderId="26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23" fillId="0" borderId="0" xfId="0" applyFont="1"/>
    <xf numFmtId="0" fontId="4" fillId="2" borderId="26" xfId="0" applyFont="1" applyFill="1" applyBorder="1" applyAlignment="1">
      <alignment vertical="center" wrapText="1"/>
    </xf>
    <xf numFmtId="164" fontId="4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vertical="center"/>
    </xf>
    <xf numFmtId="164" fontId="4" fillId="2" borderId="19" xfId="2" applyNumberFormat="1" applyFont="1" applyFill="1" applyBorder="1" applyAlignment="1">
      <alignment horizontal="center" vertical="center"/>
    </xf>
    <xf numFmtId="164" fontId="5" fillId="2" borderId="26" xfId="2" applyNumberFormat="1" applyFont="1" applyFill="1" applyBorder="1" applyAlignment="1">
      <alignment horizontal="center" vertical="center" wrapText="1"/>
    </xf>
    <xf numFmtId="164" fontId="5" fillId="2" borderId="43" xfId="2" applyNumberFormat="1" applyFont="1" applyFill="1" applyBorder="1" applyAlignment="1">
      <alignment horizontal="center" vertical="center" wrapText="1"/>
    </xf>
    <xf numFmtId="164" fontId="3" fillId="2" borderId="0" xfId="2" applyNumberFormat="1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39" fontId="5" fillId="2" borderId="26" xfId="1" applyNumberFormat="1" applyFont="1" applyFill="1" applyBorder="1" applyAlignment="1">
      <alignment horizontal="center" vertical="center" wrapText="1"/>
    </xf>
    <xf numFmtId="43" fontId="4" fillId="2" borderId="26" xfId="2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9" fontId="5" fillId="2" borderId="43" xfId="1" applyNumberFormat="1" applyFont="1" applyFill="1" applyBorder="1" applyAlignment="1">
      <alignment horizontal="center" vertical="center" wrapText="1"/>
    </xf>
    <xf numFmtId="43" fontId="5" fillId="0" borderId="43" xfId="1" quotePrefix="1" applyNumberFormat="1" applyFont="1" applyFill="1" applyBorder="1" applyAlignment="1">
      <alignment horizontal="right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5" fillId="2" borderId="42" xfId="0" applyNumberFormat="1" applyFont="1" applyFill="1" applyBorder="1" applyAlignment="1">
      <alignment horizontal="center" vertical="center" wrapText="1"/>
    </xf>
    <xf numFmtId="41" fontId="4" fillId="0" borderId="0" xfId="2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1" fontId="5" fillId="0" borderId="0" xfId="2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41" fontId="5" fillId="0" borderId="0" xfId="2" applyFont="1" applyFill="1" applyAlignment="1">
      <alignment vertical="center"/>
    </xf>
    <xf numFmtId="41" fontId="4" fillId="0" borderId="21" xfId="2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1" fontId="4" fillId="0" borderId="19" xfId="2" applyFont="1" applyFill="1" applyBorder="1" applyAlignment="1">
      <alignment horizontal="center" vertical="center"/>
    </xf>
    <xf numFmtId="2" fontId="5" fillId="0" borderId="26" xfId="0" applyNumberFormat="1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43" fontId="4" fillId="0" borderId="26" xfId="2" applyNumberFormat="1" applyFont="1" applyFill="1" applyBorder="1" applyAlignment="1">
      <alignment horizontal="right" vertical="center" wrapText="1"/>
    </xf>
    <xf numFmtId="41" fontId="3" fillId="0" borderId="0" xfId="2" applyFont="1" applyFill="1" applyAlignment="1">
      <alignment vertical="center"/>
    </xf>
    <xf numFmtId="0" fontId="3" fillId="0" borderId="0" xfId="0" applyFont="1" applyFill="1" applyAlignment="1">
      <alignment vertical="center"/>
    </xf>
    <xf numFmtId="164" fontId="4" fillId="0" borderId="26" xfId="2" applyNumberFormat="1" applyFont="1" applyFill="1" applyBorder="1" applyAlignment="1">
      <alignment horizontal="center" vertical="center" wrapText="1"/>
    </xf>
    <xf numFmtId="164" fontId="5" fillId="0" borderId="26" xfId="2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4" fillId="2" borderId="50" xfId="0" applyFont="1" applyFill="1" applyBorder="1" applyAlignment="1">
      <alignment horizontal="center" vertical="center"/>
    </xf>
    <xf numFmtId="2" fontId="5" fillId="3" borderId="28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left" vertical="center" wrapText="1"/>
    </xf>
    <xf numFmtId="39" fontId="5" fillId="0" borderId="26" xfId="0" applyNumberFormat="1" applyFont="1" applyFill="1" applyBorder="1" applyAlignment="1">
      <alignment horizontal="right" vertical="center" wrapText="1"/>
    </xf>
    <xf numFmtId="39" fontId="5" fillId="0" borderId="26" xfId="1" applyNumberFormat="1" applyFont="1" applyFill="1" applyBorder="1" applyAlignment="1">
      <alignment horizontal="center" vertical="center" wrapText="1"/>
    </xf>
    <xf numFmtId="2" fontId="5" fillId="0" borderId="28" xfId="0" applyNumberFormat="1" applyFont="1" applyFill="1" applyBorder="1" applyAlignment="1">
      <alignment horizontal="center" vertical="center" wrapText="1"/>
    </xf>
    <xf numFmtId="2" fontId="5" fillId="0" borderId="25" xfId="0" applyNumberFormat="1" applyFont="1" applyFill="1" applyBorder="1" applyAlignment="1">
      <alignment horizontal="center" vertical="center" wrapText="1"/>
    </xf>
    <xf numFmtId="164" fontId="5" fillId="0" borderId="29" xfId="2" applyNumberFormat="1" applyFont="1" applyFill="1" applyBorder="1" applyAlignment="1">
      <alignment horizontal="right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horizontal="left" vertical="center" wrapText="1"/>
    </xf>
    <xf numFmtId="39" fontId="5" fillId="0" borderId="41" xfId="0" applyNumberFormat="1" applyFont="1" applyFill="1" applyBorder="1" applyAlignment="1">
      <alignment horizontal="right" vertical="center" wrapText="1"/>
    </xf>
    <xf numFmtId="2" fontId="5" fillId="0" borderId="4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9" fontId="5" fillId="0" borderId="26" xfId="1" applyNumberFormat="1" applyFont="1" applyFill="1" applyBorder="1" applyAlignment="1">
      <alignment horizontal="right" vertical="center" wrapText="1"/>
    </xf>
    <xf numFmtId="43" fontId="5" fillId="0" borderId="26" xfId="2" applyNumberFormat="1" applyFont="1" applyFill="1" applyBorder="1" applyAlignment="1">
      <alignment horizontal="right" vertical="center" wrapText="1"/>
    </xf>
    <xf numFmtId="43" fontId="5" fillId="0" borderId="26" xfId="0" applyNumberFormat="1" applyFont="1" applyFill="1" applyBorder="1" applyAlignment="1">
      <alignment vertical="center" wrapText="1"/>
    </xf>
    <xf numFmtId="39" fontId="5" fillId="0" borderId="43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2" fontId="4" fillId="2" borderId="27" xfId="0" applyNumberFormat="1" applyFont="1" applyFill="1" applyBorder="1" applyAlignment="1">
      <alignment horizontal="center" vertical="center" wrapText="1"/>
    </xf>
    <xf numFmtId="2" fontId="5" fillId="2" borderId="27" xfId="0" applyNumberFormat="1" applyFont="1" applyFill="1" applyBorder="1" applyAlignment="1">
      <alignment horizontal="center" vertical="center" wrapText="1"/>
    </xf>
    <xf numFmtId="2" fontId="5" fillId="0" borderId="27" xfId="0" applyNumberFormat="1" applyFont="1" applyFill="1" applyBorder="1" applyAlignment="1">
      <alignment horizontal="center" vertical="center" wrapText="1"/>
    </xf>
    <xf numFmtId="2" fontId="5" fillId="2" borderId="51" xfId="0" applyNumberFormat="1" applyFont="1" applyFill="1" applyBorder="1" applyAlignment="1">
      <alignment horizontal="center" vertical="center" wrapText="1"/>
    </xf>
    <xf numFmtId="2" fontId="5" fillId="2" borderId="52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4" fillId="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5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 wrapText="1"/>
    </xf>
    <xf numFmtId="2" fontId="5" fillId="0" borderId="44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64" fontId="5" fillId="2" borderId="27" xfId="2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4" fontId="4" fillId="2" borderId="14" xfId="2" applyNumberFormat="1" applyFont="1" applyFill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nu\PAK%20ZUL\LAPORAN%20KINERJA%20BAPPEDA_2015_Bulan%20April_P%20Z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nu\PAK%20ZUL\laporan%20triwulan%202015\laporan%20triwulan%20evaluasi%20hasil%20renja%20SKPD%20thn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April"/>
      <sheetName val="Sheet2"/>
    </sheetNames>
    <sheetDataSet>
      <sheetData sheetId="0" refreshError="1"/>
      <sheetData sheetId="1" refreshError="1">
        <row r="24">
          <cell r="B24" t="str">
            <v>5.2.01</v>
          </cell>
          <cell r="C24" t="str">
            <v>Program Pelayanan Administrasi Perkantoran</v>
          </cell>
        </row>
        <row r="102">
          <cell r="C102" t="str">
            <v>Program Peningkatan Sarana dan Prasarana Aparatur</v>
          </cell>
        </row>
        <row r="184">
          <cell r="C184" t="str">
            <v>Program Peningkatan Kapasitas Sumber Daya Aparatur</v>
          </cell>
        </row>
        <row r="185">
          <cell r="C185" t="str">
            <v>Peningkatan Kemampuan Teknis Aparatur</v>
          </cell>
        </row>
        <row r="201">
          <cell r="C201" t="str">
            <v>Program peningkatan pengembangan sistem pelaporan capaian kinerja dan keuangan</v>
          </cell>
        </row>
        <row r="202">
          <cell r="C202" t="str">
            <v>Penyusunan laporan capaian kinerja dan ikhtisar realisasi kinerja SKPD</v>
          </cell>
        </row>
        <row r="213">
          <cell r="C213" t="str">
            <v>Penyusunan pelaporan keuangan semesteran</v>
          </cell>
        </row>
        <row r="231">
          <cell r="C231" t="str">
            <v>penyusunan pelaporan keuangan akhir tahun</v>
          </cell>
        </row>
        <row r="249">
          <cell r="C249" t="str">
            <v>Penyusunan Rencana Kerja dan Anggaran SKPD</v>
          </cell>
        </row>
        <row r="266">
          <cell r="C266" t="str">
            <v>Penyediaan Data, Dokumentasi, Informatika dan Komunikasi SKPD</v>
          </cell>
        </row>
        <row r="298">
          <cell r="C298" t="str">
            <v>Program pengembangan data/informasi</v>
          </cell>
        </row>
        <row r="320">
          <cell r="C320" t="str">
            <v>Penyusunan dan anlisis data/informasi perencanaan pembangunan ekonomi</v>
          </cell>
        </row>
        <row r="337">
          <cell r="C337" t="str">
            <v>Penyusunan profile daerah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55">
          <cell r="I55" t="str">
            <v>Program Kerjasama Pembangunan</v>
          </cell>
        </row>
        <row r="56">
          <cell r="I56" t="str">
            <v>Koordinasi dalam pemecahan masalah-masalah daerah</v>
          </cell>
        </row>
        <row r="59">
          <cell r="I59" t="str">
            <v>Koordinasi penyelesaian permasalahan transportasi perkotaan</v>
          </cell>
        </row>
        <row r="61">
          <cell r="I61" t="str">
            <v>Koordinasi perencanaan penanganan perumahan</v>
          </cell>
        </row>
        <row r="62">
          <cell r="I62" t="str">
            <v>Koordinasi perencanaan air minum, drainase dan sanitasi perkotaan</v>
          </cell>
        </row>
        <row r="64">
          <cell r="I64" t="str">
            <v>Program peningkatan kapasitas kelembagaan perencanaan pembangunan daerah</v>
          </cell>
        </row>
        <row r="65">
          <cell r="I65" t="str">
            <v>Peningkatan kemampuan teknis aparat perencana</v>
          </cell>
        </row>
        <row r="67">
          <cell r="I67" t="str">
            <v>Bimbingan teknis tentang perencanan pembangunan daerah</v>
          </cell>
        </row>
        <row r="69">
          <cell r="I69" t="str">
            <v>Program perencanaan pembangunan daerah</v>
          </cell>
        </row>
        <row r="70">
          <cell r="I70" t="str">
            <v>Pengembangan partisipasi masyarakat dalam perumusan program dan kebijakan layanan publik</v>
          </cell>
        </row>
        <row r="73">
          <cell r="I73" t="str">
            <v>Penyusunan rancangan RKPD</v>
          </cell>
        </row>
        <row r="74">
          <cell r="I74" t="str">
            <v>Penyelenggaraan musrenbang RKPD</v>
          </cell>
        </row>
        <row r="75">
          <cell r="I75" t="str">
            <v>Koordinasi penyusunan laporan Keterangan Pertanggung Jawaban (LKPJ)</v>
          </cell>
        </row>
        <row r="76">
          <cell r="I76" t="str">
            <v>Monitoring, evaluasi dan pelaporan</v>
          </cell>
        </row>
        <row r="77">
          <cell r="I77" t="str">
            <v>Penyusunan KU APBD Perubahan</v>
          </cell>
        </row>
        <row r="78">
          <cell r="I78" t="str">
            <v>Penyusunan PPAS Perubahan</v>
          </cell>
        </row>
        <row r="80">
          <cell r="I80" t="str">
            <v>Pengumpulan, Updating dan Analisis Sistem Informasi Pembangunan Daerah</v>
          </cell>
        </row>
        <row r="81">
          <cell r="I81" t="str">
            <v>Program perencanaan pembangunan ekonomi</v>
          </cell>
        </row>
        <row r="82">
          <cell r="I82" t="str">
            <v>Penyusunan Indikator ekonomi daerah</v>
          </cell>
        </row>
        <row r="84">
          <cell r="I84" t="str">
            <v>Koordinasi perencanaan pembangunan bidang ekonomi</v>
          </cell>
        </row>
        <row r="89">
          <cell r="I89" t="str">
            <v>Program perencanaan sosial dan budaya</v>
          </cell>
        </row>
        <row r="90">
          <cell r="I90" t="str">
            <v>Koordinasi perencanaan pembangunan bidang sosial dan budaya</v>
          </cell>
        </row>
        <row r="91">
          <cell r="I91" t="str">
            <v>Pelaksanaan Program KHPPIA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30"/>
  <sheetViews>
    <sheetView view="pageBreakPreview" topLeftCell="A79" zoomScale="120" zoomScaleSheetLayoutView="120" workbookViewId="0">
      <selection activeCell="I17" sqref="I17"/>
    </sheetView>
  </sheetViews>
  <sheetFormatPr defaultColWidth="9.140625" defaultRowHeight="11.25" x14ac:dyDescent="0.2"/>
  <cols>
    <col min="1" max="1" width="5.42578125" style="154" customWidth="1"/>
    <col min="2" max="2" width="16.7109375" style="1" customWidth="1"/>
    <col min="3" max="3" width="22.5703125" style="95" customWidth="1"/>
    <col min="4" max="4" width="16" style="154" customWidth="1"/>
    <col min="5" max="5" width="7.5703125" style="154" customWidth="1"/>
    <col min="6" max="6" width="7.42578125" style="154" customWidth="1"/>
    <col min="7" max="8" width="10.42578125" style="154" bestFit="1" customWidth="1"/>
    <col min="9" max="9" width="15.42578125" style="95" customWidth="1"/>
    <col min="10" max="10" width="8.5703125" style="154" bestFit="1" customWidth="1"/>
    <col min="11" max="11" width="17.42578125" style="154" customWidth="1"/>
    <col min="12" max="12" width="8.85546875" style="154" customWidth="1"/>
    <col min="13" max="13" width="18.85546875" style="1" customWidth="1"/>
    <col min="14" max="14" width="24.85546875" style="1" hidden="1" customWidth="1"/>
    <col min="15" max="15" width="13.85546875" style="1" hidden="1" customWidth="1"/>
    <col min="16" max="16" width="17.85546875" style="1" customWidth="1"/>
    <col min="17" max="16384" width="9.140625" style="1"/>
  </cols>
  <sheetData>
    <row r="1" spans="1:16" ht="15" x14ac:dyDescent="0.3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</row>
    <row r="2" spans="1:16" ht="15" x14ac:dyDescent="0.3">
      <c r="A2" s="320" t="s">
        <v>205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6" ht="10.5" x14ac:dyDescent="0.25">
      <c r="A3" s="142"/>
      <c r="B3" s="2"/>
      <c r="C3" s="123"/>
      <c r="D3" s="142"/>
      <c r="E3" s="142"/>
      <c r="F3" s="142"/>
      <c r="G3" s="142"/>
      <c r="H3" s="142"/>
      <c r="I3" s="123"/>
      <c r="J3" s="142"/>
      <c r="K3" s="142"/>
      <c r="L3" s="142"/>
      <c r="N3" s="2"/>
    </row>
    <row r="4" spans="1:16" ht="10.5" x14ac:dyDescent="0.25">
      <c r="A4" s="143" t="s">
        <v>2</v>
      </c>
      <c r="B4" s="3"/>
      <c r="C4" s="124"/>
      <c r="D4" s="143"/>
      <c r="E4" s="5"/>
      <c r="F4" s="5"/>
      <c r="G4" s="161"/>
      <c r="H4" s="162"/>
      <c r="I4" s="127"/>
      <c r="J4" s="162"/>
      <c r="K4" s="164" t="s">
        <v>293</v>
      </c>
      <c r="L4" s="164"/>
      <c r="N4" s="8"/>
    </row>
    <row r="5" spans="1:16" ht="11.1" thickBot="1" x14ac:dyDescent="0.3">
      <c r="A5" s="162"/>
      <c r="B5" s="7"/>
      <c r="C5" s="125"/>
      <c r="D5" s="143"/>
      <c r="E5" s="143"/>
      <c r="F5" s="143"/>
      <c r="G5" s="162"/>
      <c r="H5" s="162"/>
      <c r="I5" s="125"/>
      <c r="J5" s="162"/>
      <c r="K5" s="164" t="s">
        <v>295</v>
      </c>
      <c r="L5" s="164"/>
      <c r="N5" s="7"/>
    </row>
    <row r="6" spans="1:16" ht="15" customHeight="1" x14ac:dyDescent="0.2">
      <c r="A6" s="321" t="s">
        <v>6</v>
      </c>
      <c r="B6" s="324" t="s">
        <v>7</v>
      </c>
      <c r="C6" s="327" t="s">
        <v>8</v>
      </c>
      <c r="D6" s="324" t="s">
        <v>9</v>
      </c>
      <c r="E6" s="324" t="s">
        <v>10</v>
      </c>
      <c r="F6" s="324" t="s">
        <v>11</v>
      </c>
      <c r="G6" s="330" t="s">
        <v>12</v>
      </c>
      <c r="H6" s="331"/>
      <c r="I6" s="331"/>
      <c r="J6" s="332"/>
      <c r="K6" s="333" t="s">
        <v>13</v>
      </c>
      <c r="L6" s="336" t="s">
        <v>14</v>
      </c>
    </row>
    <row r="7" spans="1:16" ht="11.25" customHeight="1" x14ac:dyDescent="0.2">
      <c r="A7" s="322"/>
      <c r="B7" s="325"/>
      <c r="C7" s="328"/>
      <c r="D7" s="325"/>
      <c r="E7" s="325"/>
      <c r="F7" s="325"/>
      <c r="G7" s="339" t="s">
        <v>16</v>
      </c>
      <c r="H7" s="340"/>
      <c r="I7" s="341" t="s">
        <v>17</v>
      </c>
      <c r="J7" s="342" t="s">
        <v>14</v>
      </c>
      <c r="K7" s="334"/>
      <c r="L7" s="337"/>
      <c r="N7" s="318" t="s">
        <v>18</v>
      </c>
    </row>
    <row r="8" spans="1:16" ht="21.75" thickBot="1" x14ac:dyDescent="0.25">
      <c r="A8" s="323"/>
      <c r="B8" s="326"/>
      <c r="C8" s="329"/>
      <c r="D8" s="326"/>
      <c r="E8" s="326"/>
      <c r="F8" s="326"/>
      <c r="G8" s="10" t="s">
        <v>19</v>
      </c>
      <c r="H8" s="10" t="s">
        <v>20</v>
      </c>
      <c r="I8" s="326"/>
      <c r="J8" s="338"/>
      <c r="K8" s="335"/>
      <c r="L8" s="338"/>
      <c r="N8" s="319"/>
    </row>
    <row r="9" spans="1:16" ht="15.75" hidden="1" customHeight="1" x14ac:dyDescent="0.25">
      <c r="A9" s="11">
        <v>1</v>
      </c>
      <c r="B9" s="313">
        <v>2</v>
      </c>
      <c r="C9" s="314"/>
      <c r="D9" s="130">
        <v>3</v>
      </c>
      <c r="E9" s="130">
        <v>4</v>
      </c>
      <c r="F9" s="130">
        <v>5</v>
      </c>
      <c r="G9" s="130">
        <v>6</v>
      </c>
      <c r="H9" s="130" t="s">
        <v>21</v>
      </c>
      <c r="I9" s="187">
        <v>9</v>
      </c>
      <c r="J9" s="131" t="s">
        <v>22</v>
      </c>
      <c r="K9" s="132" t="s">
        <v>23</v>
      </c>
      <c r="L9" s="131" t="s">
        <v>24</v>
      </c>
      <c r="N9" s="104">
        <v>9</v>
      </c>
    </row>
    <row r="10" spans="1:16" ht="10.5" x14ac:dyDescent="0.25">
      <c r="A10" s="172"/>
      <c r="B10" s="26"/>
      <c r="C10" s="27" t="s">
        <v>25</v>
      </c>
      <c r="D10" s="144">
        <f>D14+D12</f>
        <v>16704507513</v>
      </c>
      <c r="E10" s="156">
        <v>100</v>
      </c>
      <c r="F10" s="160">
        <v>100</v>
      </c>
      <c r="G10" s="156">
        <f>J10</f>
        <v>19.233783052266631</v>
      </c>
      <c r="H10" s="160">
        <f>E10*G10/100</f>
        <v>19.233783052266631</v>
      </c>
      <c r="I10" s="135">
        <f>I12+I14</f>
        <v>3212908735</v>
      </c>
      <c r="J10" s="163">
        <f>I10/D10*100</f>
        <v>19.233783052266631</v>
      </c>
      <c r="K10" s="165">
        <f>K14+K12</f>
        <v>13491598778</v>
      </c>
      <c r="L10" s="73">
        <f>K10/D10*100</f>
        <v>80.766216947733369</v>
      </c>
      <c r="N10" s="31">
        <v>11493328563</v>
      </c>
      <c r="O10" s="36">
        <f>I10-N10</f>
        <v>-8280419828</v>
      </c>
    </row>
    <row r="11" spans="1:16" ht="10.5" x14ac:dyDescent="0.25">
      <c r="A11" s="172"/>
      <c r="B11" s="37"/>
      <c r="C11" s="38"/>
      <c r="D11" s="145"/>
      <c r="E11" s="157"/>
      <c r="F11" s="157"/>
      <c r="G11" s="157"/>
      <c r="H11" s="157"/>
      <c r="I11" s="134"/>
      <c r="J11" s="73"/>
      <c r="K11" s="165"/>
      <c r="L11" s="73"/>
      <c r="N11" s="40"/>
      <c r="O11" s="36">
        <f>I11-N11</f>
        <v>0</v>
      </c>
    </row>
    <row r="12" spans="1:16" ht="24.75" customHeight="1" x14ac:dyDescent="0.25">
      <c r="A12" s="173">
        <v>1</v>
      </c>
      <c r="B12" s="26" t="s">
        <v>26</v>
      </c>
      <c r="C12" s="27" t="s">
        <v>27</v>
      </c>
      <c r="D12" s="144">
        <f>D13</f>
        <v>3935294040</v>
      </c>
      <c r="E12" s="156">
        <f>D12/D10*100</f>
        <v>23.558276333124002</v>
      </c>
      <c r="F12" s="156">
        <v>100</v>
      </c>
      <c r="G12" s="156">
        <f>J12</f>
        <v>16.222477367917339</v>
      </c>
      <c r="H12" s="156">
        <f>E12*G12/100</f>
        <v>3.8217360464124681</v>
      </c>
      <c r="I12" s="135">
        <f>I13</f>
        <v>638402185</v>
      </c>
      <c r="J12" s="163">
        <f>I12/D12*100</f>
        <v>16.222477367917339</v>
      </c>
      <c r="K12" s="165">
        <f t="shared" ref="K12:K25" si="0">D12-I12</f>
        <v>3296891855</v>
      </c>
      <c r="L12" s="73">
        <f>L13</f>
        <v>83.777522632082665</v>
      </c>
      <c r="N12" s="31">
        <v>2383915726</v>
      </c>
      <c r="O12" s="36">
        <f>I12-N12</f>
        <v>-1745513541</v>
      </c>
    </row>
    <row r="13" spans="1:16" ht="18" customHeight="1" x14ac:dyDescent="0.25">
      <c r="A13" s="173"/>
      <c r="B13" s="178" t="s">
        <v>28</v>
      </c>
      <c r="C13" s="188" t="s">
        <v>29</v>
      </c>
      <c r="D13" s="145">
        <v>3935294040</v>
      </c>
      <c r="E13" s="157">
        <v>17.490661184813938</v>
      </c>
      <c r="F13" s="157">
        <v>100</v>
      </c>
      <c r="G13" s="157">
        <v>96.902457381452479</v>
      </c>
      <c r="H13" s="157">
        <v>16.948880500348579</v>
      </c>
      <c r="I13" s="195">
        <f>160497820+320404365+157500000</f>
        <v>638402185</v>
      </c>
      <c r="J13" s="73">
        <f>I13/D13*100</f>
        <v>16.222477367917339</v>
      </c>
      <c r="K13" s="166">
        <f>D13-I13</f>
        <v>3296891855</v>
      </c>
      <c r="L13" s="73">
        <f>F13-J13</f>
        <v>83.777522632082665</v>
      </c>
      <c r="N13" s="31"/>
      <c r="O13" s="36"/>
    </row>
    <row r="14" spans="1:16" ht="10.5" x14ac:dyDescent="0.25">
      <c r="A14" s="173">
        <v>2</v>
      </c>
      <c r="B14" s="26" t="s">
        <v>30</v>
      </c>
      <c r="C14" s="27" t="s">
        <v>31</v>
      </c>
      <c r="D14" s="144">
        <f>D15+D27+D36+D40+D43+D52+D58+D65+D68+D71+D76+D81+D94+D102+D109</f>
        <v>12769213473</v>
      </c>
      <c r="E14" s="158">
        <f>D14/D10*100</f>
        <v>76.441723666875987</v>
      </c>
      <c r="F14" s="160">
        <v>100</v>
      </c>
      <c r="G14" s="160">
        <f>J14</f>
        <v>20.161825592811123</v>
      </c>
      <c r="H14" s="158">
        <f>G14*E14/100</f>
        <v>15.412047005854161</v>
      </c>
      <c r="I14" s="136">
        <f>I15+I27+I36+I40+I43+I52+I58+I65+I68+I71+I76+I81+I94+I102+I109</f>
        <v>2574506550</v>
      </c>
      <c r="J14" s="163">
        <f t="shared" ref="J14:J25" si="1">I14/D14*100</f>
        <v>20.161825592811123</v>
      </c>
      <c r="K14" s="165">
        <f t="shared" si="0"/>
        <v>10194706923</v>
      </c>
      <c r="L14" s="73">
        <f t="shared" ref="L14:L25" si="2">K14/D14*100</f>
        <v>79.838174407188873</v>
      </c>
      <c r="M14" s="56"/>
      <c r="N14" s="31">
        <v>9109412837</v>
      </c>
      <c r="O14" s="36">
        <f t="shared" ref="O14:O20" si="3">I14-N14</f>
        <v>-6534906287</v>
      </c>
      <c r="P14" s="57"/>
    </row>
    <row r="15" spans="1:16" ht="20.100000000000001" x14ac:dyDescent="0.25">
      <c r="A15" s="172" t="s">
        <v>32</v>
      </c>
      <c r="B15" s="177" t="s">
        <v>208</v>
      </c>
      <c r="C15" s="27" t="str">
        <f>[1]April!$C$24</f>
        <v>Program Pelayanan Administrasi Perkantoran</v>
      </c>
      <c r="D15" s="144">
        <f>SUM(D16:D25)</f>
        <v>1858599473</v>
      </c>
      <c r="E15" s="156">
        <f>D15/D14*100</f>
        <v>14.555316793238172</v>
      </c>
      <c r="F15" s="156">
        <f>AVERAGE(F16:F25)</f>
        <v>100</v>
      </c>
      <c r="G15" s="156">
        <f>J15</f>
        <v>42.256772392832801</v>
      </c>
      <c r="H15" s="156">
        <f>G15*E15/100</f>
        <v>6.150607088374425</v>
      </c>
      <c r="I15" s="136">
        <f>SUM(I16:I25)</f>
        <v>785384149</v>
      </c>
      <c r="J15" s="163">
        <f t="shared" si="1"/>
        <v>42.256772392832801</v>
      </c>
      <c r="K15" s="165">
        <f t="shared" si="0"/>
        <v>1073215324</v>
      </c>
      <c r="L15" s="73">
        <f t="shared" si="2"/>
        <v>57.743227607167192</v>
      </c>
      <c r="N15" s="31">
        <v>1291959978</v>
      </c>
      <c r="O15" s="36">
        <f t="shared" si="3"/>
        <v>-506575829</v>
      </c>
    </row>
    <row r="16" spans="1:16" ht="10.5" x14ac:dyDescent="0.25">
      <c r="A16" s="174"/>
      <c r="B16" s="178" t="s">
        <v>207</v>
      </c>
      <c r="C16" s="188" t="s">
        <v>35</v>
      </c>
      <c r="D16" s="137">
        <v>27000000</v>
      </c>
      <c r="E16" s="157">
        <f>D16/D15*100</f>
        <v>1.452706750014235</v>
      </c>
      <c r="F16" s="157">
        <v>100</v>
      </c>
      <c r="G16" s="157">
        <f>J16</f>
        <v>25</v>
      </c>
      <c r="H16" s="157">
        <f>G16*E16/100</f>
        <v>0.3631766875035588</v>
      </c>
      <c r="I16" s="137">
        <v>6750000</v>
      </c>
      <c r="J16" s="73">
        <f t="shared" si="1"/>
        <v>25</v>
      </c>
      <c r="K16" s="166">
        <f t="shared" si="0"/>
        <v>20250000</v>
      </c>
      <c r="L16" s="73">
        <f t="shared" si="2"/>
        <v>75</v>
      </c>
      <c r="N16" s="51">
        <v>16505000</v>
      </c>
      <c r="O16" s="36">
        <f t="shared" si="3"/>
        <v>-9755000</v>
      </c>
    </row>
    <row r="17" spans="1:15" ht="20.100000000000001" x14ac:dyDescent="0.25">
      <c r="A17" s="174"/>
      <c r="B17" s="178" t="s">
        <v>209</v>
      </c>
      <c r="C17" s="47" t="s">
        <v>37</v>
      </c>
      <c r="D17" s="137">
        <v>655000000</v>
      </c>
      <c r="E17" s="157">
        <f>D17/D15*100</f>
        <v>35.241589676271253</v>
      </c>
      <c r="F17" s="157">
        <v>100</v>
      </c>
      <c r="G17" s="157">
        <v>9.07</v>
      </c>
      <c r="H17" s="157">
        <f>G17*E17/100</f>
        <v>3.1964121836378028</v>
      </c>
      <c r="I17" s="186">
        <f>79622784+70000000+135636223</f>
        <v>285259007</v>
      </c>
      <c r="J17" s="73">
        <f t="shared" si="1"/>
        <v>43.550993435114506</v>
      </c>
      <c r="K17" s="166">
        <f t="shared" si="0"/>
        <v>369740993</v>
      </c>
      <c r="L17" s="73">
        <f t="shared" si="2"/>
        <v>56.449006564885494</v>
      </c>
      <c r="N17" s="51">
        <v>504908116</v>
      </c>
      <c r="O17" s="36">
        <f t="shared" si="3"/>
        <v>-219649109</v>
      </c>
    </row>
    <row r="18" spans="1:15" ht="24" customHeight="1" x14ac:dyDescent="0.25">
      <c r="A18" s="174"/>
      <c r="B18" s="178" t="s">
        <v>210</v>
      </c>
      <c r="C18" s="188" t="s">
        <v>39</v>
      </c>
      <c r="D18" s="138">
        <v>266100000</v>
      </c>
      <c r="E18" s="157">
        <f>D18/D15*100</f>
        <v>14.317232080695849</v>
      </c>
      <c r="F18" s="157">
        <v>100</v>
      </c>
      <c r="G18" s="157">
        <f>J18</f>
        <v>21.529124389327318</v>
      </c>
      <c r="H18" s="157">
        <f t="shared" ref="H18:H84" si="4">G18*E18/100</f>
        <v>3.0823747037616851</v>
      </c>
      <c r="I18" s="186">
        <f>2000000+3789000+51500000</f>
        <v>57289000</v>
      </c>
      <c r="J18" s="73">
        <f t="shared" si="1"/>
        <v>21.529124389327318</v>
      </c>
      <c r="K18" s="166">
        <f t="shared" si="0"/>
        <v>208811000</v>
      </c>
      <c r="L18" s="73">
        <f t="shared" si="2"/>
        <v>78.470875610672678</v>
      </c>
      <c r="N18" s="51">
        <v>138855000</v>
      </c>
      <c r="O18" s="36">
        <f t="shared" si="3"/>
        <v>-81566000</v>
      </c>
    </row>
    <row r="19" spans="1:15" ht="12.75" customHeight="1" x14ac:dyDescent="0.25">
      <c r="A19" s="174"/>
      <c r="B19" s="178" t="s">
        <v>211</v>
      </c>
      <c r="C19" s="47" t="s">
        <v>41</v>
      </c>
      <c r="D19" s="138">
        <v>67180000</v>
      </c>
      <c r="E19" s="157">
        <f>D19/D15*100</f>
        <v>3.6145496098502337</v>
      </c>
      <c r="F19" s="157">
        <v>100</v>
      </c>
      <c r="G19" s="157">
        <f t="shared" ref="G19:G85" si="5">J19</f>
        <v>49.407561774337601</v>
      </c>
      <c r="H19" s="157">
        <f t="shared" si="4"/>
        <v>1.7858608313508331</v>
      </c>
      <c r="I19" s="186">
        <f>16596000+16596000</f>
        <v>33192000</v>
      </c>
      <c r="J19" s="73">
        <f t="shared" si="1"/>
        <v>49.407561774337601</v>
      </c>
      <c r="K19" s="166">
        <f t="shared" si="0"/>
        <v>33988000</v>
      </c>
      <c r="L19" s="73">
        <f t="shared" si="2"/>
        <v>50.592438225662391</v>
      </c>
      <c r="N19" s="51">
        <v>30435000</v>
      </c>
      <c r="O19" s="36">
        <f t="shared" si="3"/>
        <v>2757000</v>
      </c>
    </row>
    <row r="20" spans="1:15" ht="20.100000000000001" x14ac:dyDescent="0.25">
      <c r="A20" s="174"/>
      <c r="B20" s="178" t="s">
        <v>212</v>
      </c>
      <c r="C20" s="47" t="s">
        <v>43</v>
      </c>
      <c r="D20" s="138">
        <v>62180000</v>
      </c>
      <c r="E20" s="157">
        <f>D20/D15*100</f>
        <v>3.3455298413290793</v>
      </c>
      <c r="F20" s="157">
        <v>100</v>
      </c>
      <c r="G20" s="157">
        <f t="shared" si="5"/>
        <v>23.456095207462209</v>
      </c>
      <c r="H20" s="157">
        <f t="shared" si="4"/>
        <v>0.78473066477620823</v>
      </c>
      <c r="I20" s="137">
        <v>14585000</v>
      </c>
      <c r="J20" s="73">
        <f t="shared" si="1"/>
        <v>23.456095207462209</v>
      </c>
      <c r="K20" s="166">
        <f t="shared" si="0"/>
        <v>47595000</v>
      </c>
      <c r="L20" s="73">
        <f t="shared" si="2"/>
        <v>76.543904792537802</v>
      </c>
      <c r="N20" s="51">
        <v>36271000</v>
      </c>
      <c r="O20" s="36">
        <f t="shared" si="3"/>
        <v>-21686000</v>
      </c>
    </row>
    <row r="21" spans="1:15" ht="30" x14ac:dyDescent="0.25">
      <c r="A21" s="174"/>
      <c r="B21" s="178" t="s">
        <v>213</v>
      </c>
      <c r="C21" s="47" t="s">
        <v>45</v>
      </c>
      <c r="D21" s="138">
        <v>14340000</v>
      </c>
      <c r="E21" s="157">
        <f>D21/D14*100</f>
        <v>0.11230135693417113</v>
      </c>
      <c r="F21" s="157">
        <v>100</v>
      </c>
      <c r="G21" s="157">
        <f t="shared" si="5"/>
        <v>40.446304044630402</v>
      </c>
      <c r="H21" s="157">
        <f t="shared" si="4"/>
        <v>4.5421748271840486E-2</v>
      </c>
      <c r="I21" s="186">
        <v>5800000</v>
      </c>
      <c r="J21" s="73">
        <f t="shared" si="1"/>
        <v>40.446304044630402</v>
      </c>
      <c r="K21" s="166">
        <f t="shared" si="0"/>
        <v>8540000</v>
      </c>
      <c r="L21" s="73">
        <f t="shared" si="2"/>
        <v>59.553695955369598</v>
      </c>
      <c r="N21" s="51"/>
      <c r="O21" s="36"/>
    </row>
    <row r="22" spans="1:15" ht="23.25" customHeight="1" x14ac:dyDescent="0.25">
      <c r="A22" s="174"/>
      <c r="B22" s="178" t="s">
        <v>214</v>
      </c>
      <c r="C22" s="47" t="s">
        <v>47</v>
      </c>
      <c r="D22" s="138">
        <v>47780000</v>
      </c>
      <c r="E22" s="157">
        <f>D22/D15*100</f>
        <v>2.5707529079881537</v>
      </c>
      <c r="F22" s="157">
        <v>100</v>
      </c>
      <c r="G22" s="157">
        <f t="shared" si="5"/>
        <v>23.421933863541231</v>
      </c>
      <c r="H22" s="157">
        <f t="shared" si="4"/>
        <v>0.60212004590404833</v>
      </c>
      <c r="I22" s="186">
        <f>3841000+7350000</f>
        <v>11191000</v>
      </c>
      <c r="J22" s="73">
        <f t="shared" si="1"/>
        <v>23.421933863541231</v>
      </c>
      <c r="K22" s="166">
        <f t="shared" si="0"/>
        <v>36589000</v>
      </c>
      <c r="L22" s="73">
        <f t="shared" si="2"/>
        <v>76.578066136458773</v>
      </c>
      <c r="N22" s="51">
        <v>22580000</v>
      </c>
      <c r="O22" s="36">
        <f t="shared" ref="O22:O27" si="6">I22-N22</f>
        <v>-11389000</v>
      </c>
    </row>
    <row r="23" spans="1:15" ht="20.100000000000001" x14ac:dyDescent="0.25">
      <c r="A23" s="174"/>
      <c r="B23" s="178" t="s">
        <v>215</v>
      </c>
      <c r="C23" s="47" t="s">
        <v>49</v>
      </c>
      <c r="D23" s="138">
        <v>96640000</v>
      </c>
      <c r="E23" s="157">
        <f>D23/D15*100</f>
        <v>5.1996140859768767</v>
      </c>
      <c r="F23" s="157">
        <v>100</v>
      </c>
      <c r="G23" s="157">
        <f t="shared" si="5"/>
        <v>50.703642384105962</v>
      </c>
      <c r="H23" s="157">
        <f t="shared" si="4"/>
        <v>2.6363937315073156</v>
      </c>
      <c r="I23" s="186">
        <f>5000000+44000000</f>
        <v>49000000</v>
      </c>
      <c r="J23" s="73">
        <f t="shared" si="1"/>
        <v>50.703642384105962</v>
      </c>
      <c r="K23" s="166">
        <f t="shared" si="0"/>
        <v>47640000</v>
      </c>
      <c r="L23" s="73">
        <f t="shared" si="2"/>
        <v>49.296357615894038</v>
      </c>
      <c r="N23" s="51">
        <v>56291750</v>
      </c>
      <c r="O23" s="36">
        <f t="shared" si="6"/>
        <v>-7291750</v>
      </c>
    </row>
    <row r="24" spans="1:15" ht="20.100000000000001" x14ac:dyDescent="0.25">
      <c r="A24" s="174"/>
      <c r="B24" s="178" t="s">
        <v>216</v>
      </c>
      <c r="C24" s="47" t="s">
        <v>51</v>
      </c>
      <c r="D24" s="138">
        <v>593199473</v>
      </c>
      <c r="E24" s="157">
        <f>D24/D15*100</f>
        <v>31.916476982666186</v>
      </c>
      <c r="F24" s="157">
        <v>100</v>
      </c>
      <c r="G24" s="157">
        <f t="shared" si="5"/>
        <v>52.575593235565812</v>
      </c>
      <c r="H24" s="157">
        <f t="shared" si="4"/>
        <v>16.780277113529561</v>
      </c>
      <c r="I24" s="194">
        <f>24878142+30000000+257000000</f>
        <v>311878142</v>
      </c>
      <c r="J24" s="73">
        <f t="shared" si="1"/>
        <v>52.575593235565812</v>
      </c>
      <c r="K24" s="166">
        <f t="shared" si="0"/>
        <v>281321331</v>
      </c>
      <c r="L24" s="73">
        <f t="shared" si="2"/>
        <v>47.424406764434195</v>
      </c>
      <c r="N24" s="51">
        <v>477449112</v>
      </c>
      <c r="O24" s="36">
        <f t="shared" si="6"/>
        <v>-165570970</v>
      </c>
    </row>
    <row r="25" spans="1:15" ht="20.100000000000001" x14ac:dyDescent="0.25">
      <c r="A25" s="174"/>
      <c r="B25" s="178" t="s">
        <v>217</v>
      </c>
      <c r="C25" s="47" t="s">
        <v>53</v>
      </c>
      <c r="D25" s="138">
        <v>29180000</v>
      </c>
      <c r="E25" s="157">
        <f>D25/D15*100</f>
        <v>1.5699993690894583</v>
      </c>
      <c r="F25" s="157">
        <v>100</v>
      </c>
      <c r="G25" s="157">
        <f t="shared" si="5"/>
        <v>35.777930089102121</v>
      </c>
      <c r="H25" s="157">
        <f t="shared" si="4"/>
        <v>0.56171327667217075</v>
      </c>
      <c r="I25" s="186">
        <f>440000+10000000</f>
        <v>10440000</v>
      </c>
      <c r="J25" s="73">
        <f t="shared" si="1"/>
        <v>35.777930089102121</v>
      </c>
      <c r="K25" s="166">
        <f t="shared" si="0"/>
        <v>18740000</v>
      </c>
      <c r="L25" s="73">
        <f t="shared" si="2"/>
        <v>64.222069910897872</v>
      </c>
      <c r="N25" s="51">
        <v>8665000</v>
      </c>
      <c r="O25" s="36">
        <f t="shared" si="6"/>
        <v>1775000</v>
      </c>
    </row>
    <row r="26" spans="1:15" ht="10.5" x14ac:dyDescent="0.25">
      <c r="A26" s="174"/>
      <c r="B26" s="46"/>
      <c r="C26" s="47"/>
      <c r="D26" s="138"/>
      <c r="E26" s="156"/>
      <c r="F26" s="156"/>
      <c r="G26" s="157"/>
      <c r="H26" s="157"/>
      <c r="I26" s="137"/>
      <c r="J26" s="73"/>
      <c r="K26" s="166"/>
      <c r="L26" s="73"/>
      <c r="N26" s="51"/>
      <c r="O26" s="36">
        <f t="shared" si="6"/>
        <v>0</v>
      </c>
    </row>
    <row r="27" spans="1:15" ht="30" x14ac:dyDescent="0.25">
      <c r="A27" s="172" t="s">
        <v>54</v>
      </c>
      <c r="B27" s="171" t="s">
        <v>218</v>
      </c>
      <c r="C27" s="27" t="str">
        <f>[1]April!$C$102</f>
        <v>Program Peningkatan Sarana dan Prasarana Aparatur</v>
      </c>
      <c r="D27" s="144">
        <f>SUM(D28:D34)</f>
        <v>1032060000</v>
      </c>
      <c r="E27" s="156">
        <f>D27/D14*100</f>
        <v>8.0824085381785675</v>
      </c>
      <c r="F27" s="156">
        <f>AVERAGE(F28:F34)</f>
        <v>100</v>
      </c>
      <c r="G27" s="156">
        <f>J27</f>
        <v>11.765788810728059</v>
      </c>
      <c r="H27" s="156">
        <f>G27*E27/100</f>
        <v>0.95095911942234324</v>
      </c>
      <c r="I27" s="136">
        <f>SUM(I28:I34)</f>
        <v>121430000</v>
      </c>
      <c r="J27" s="163">
        <f t="shared" ref="J27:J34" si="7">I27/D27*100</f>
        <v>11.765788810728059</v>
      </c>
      <c r="K27" s="165">
        <f t="shared" ref="K27:K34" si="8">D27-I27</f>
        <v>910630000</v>
      </c>
      <c r="L27" s="73">
        <f>K27/D27*100</f>
        <v>88.234211189271932</v>
      </c>
      <c r="N27" s="31">
        <v>485504227</v>
      </c>
      <c r="O27" s="36">
        <f t="shared" si="6"/>
        <v>-364074227</v>
      </c>
    </row>
    <row r="28" spans="1:15" ht="20.100000000000001" x14ac:dyDescent="0.25">
      <c r="A28" s="174"/>
      <c r="B28" s="178" t="s">
        <v>219</v>
      </c>
      <c r="C28" s="189" t="s">
        <v>59</v>
      </c>
      <c r="D28" s="146">
        <v>29450000</v>
      </c>
      <c r="E28" s="157">
        <f>D28/D27*100</f>
        <v>2.8535162684340056</v>
      </c>
      <c r="F28" s="157">
        <v>100</v>
      </c>
      <c r="G28" s="157">
        <f t="shared" si="5"/>
        <v>0</v>
      </c>
      <c r="H28" s="157">
        <f t="shared" si="4"/>
        <v>0</v>
      </c>
      <c r="I28" s="137">
        <v>0</v>
      </c>
      <c r="J28" s="73">
        <f t="shared" si="7"/>
        <v>0</v>
      </c>
      <c r="K28" s="166">
        <f t="shared" si="8"/>
        <v>29450000</v>
      </c>
      <c r="L28" s="73">
        <f t="shared" ref="L28:L34" si="9">K28/D28*100</f>
        <v>100</v>
      </c>
      <c r="N28" s="51">
        <v>51710000</v>
      </c>
      <c r="O28" s="36">
        <f t="shared" ref="O28:O35" si="10">I28-N28</f>
        <v>-51710000</v>
      </c>
    </row>
    <row r="29" spans="1:15" ht="20.100000000000001" x14ac:dyDescent="0.25">
      <c r="A29" s="174"/>
      <c r="B29" s="178" t="s">
        <v>220</v>
      </c>
      <c r="C29" s="193" t="s">
        <v>61</v>
      </c>
      <c r="D29" s="146">
        <v>148880000</v>
      </c>
      <c r="E29" s="157">
        <f>D29/D27*100</f>
        <v>14.425517896246342</v>
      </c>
      <c r="F29" s="157">
        <v>100</v>
      </c>
      <c r="G29" s="157">
        <f t="shared" si="5"/>
        <v>0</v>
      </c>
      <c r="H29" s="157">
        <f t="shared" si="4"/>
        <v>0</v>
      </c>
      <c r="I29" s="137">
        <v>0</v>
      </c>
      <c r="J29" s="73">
        <f t="shared" si="7"/>
        <v>0</v>
      </c>
      <c r="K29" s="166">
        <f t="shared" si="8"/>
        <v>148880000</v>
      </c>
      <c r="L29" s="73">
        <f t="shared" si="9"/>
        <v>100</v>
      </c>
      <c r="N29" s="51">
        <v>122060000</v>
      </c>
      <c r="O29" s="36">
        <f t="shared" si="10"/>
        <v>-122060000</v>
      </c>
    </row>
    <row r="30" spans="1:15" ht="14.25" customHeight="1" x14ac:dyDescent="0.25">
      <c r="A30" s="174"/>
      <c r="B30" s="178" t="s">
        <v>221</v>
      </c>
      <c r="C30" s="189" t="s">
        <v>63</v>
      </c>
      <c r="D30" s="146">
        <v>19630000</v>
      </c>
      <c r="E30" s="157">
        <f>D30/D27*100</f>
        <v>1.902021200317811</v>
      </c>
      <c r="F30" s="157">
        <v>100</v>
      </c>
      <c r="G30" s="157">
        <f t="shared" si="5"/>
        <v>0</v>
      </c>
      <c r="H30" s="157">
        <f t="shared" si="4"/>
        <v>0</v>
      </c>
      <c r="I30" s="137">
        <v>0</v>
      </c>
      <c r="J30" s="73">
        <f t="shared" si="7"/>
        <v>0</v>
      </c>
      <c r="K30" s="166">
        <f t="shared" si="8"/>
        <v>19630000</v>
      </c>
      <c r="L30" s="73">
        <f t="shared" si="9"/>
        <v>100</v>
      </c>
      <c r="N30" s="51">
        <v>20210000</v>
      </c>
      <c r="O30" s="36">
        <f t="shared" si="10"/>
        <v>-20210000</v>
      </c>
    </row>
    <row r="31" spans="1:15" ht="20.100000000000001" x14ac:dyDescent="0.25">
      <c r="A31" s="174"/>
      <c r="B31" s="178" t="s">
        <v>222</v>
      </c>
      <c r="C31" s="188" t="s">
        <v>65</v>
      </c>
      <c r="D31" s="138">
        <v>97180000</v>
      </c>
      <c r="E31" s="157">
        <f>D31/D27*100</f>
        <v>9.4161192178749289</v>
      </c>
      <c r="F31" s="157">
        <v>100</v>
      </c>
      <c r="G31" s="157">
        <f t="shared" si="5"/>
        <v>0</v>
      </c>
      <c r="H31" s="157">
        <f t="shared" si="4"/>
        <v>0</v>
      </c>
      <c r="I31" s="137">
        <v>0</v>
      </c>
      <c r="J31" s="73">
        <f t="shared" si="7"/>
        <v>0</v>
      </c>
      <c r="K31" s="166">
        <f t="shared" si="8"/>
        <v>97180000</v>
      </c>
      <c r="L31" s="73">
        <f t="shared" si="9"/>
        <v>100</v>
      </c>
      <c r="N31" s="51">
        <v>41250000</v>
      </c>
      <c r="O31" s="36">
        <f t="shared" si="10"/>
        <v>-41250000</v>
      </c>
    </row>
    <row r="32" spans="1:15" ht="20.100000000000001" x14ac:dyDescent="0.25">
      <c r="A32" s="174"/>
      <c r="B32" s="178" t="s">
        <v>223</v>
      </c>
      <c r="C32" s="188" t="s">
        <v>67</v>
      </c>
      <c r="D32" s="138">
        <v>566100000</v>
      </c>
      <c r="E32" s="157">
        <f>D32/D27*100</f>
        <v>54.851462124295104</v>
      </c>
      <c r="F32" s="157">
        <v>100</v>
      </c>
      <c r="G32" s="157">
        <f t="shared" si="5"/>
        <v>15.359477124183007</v>
      </c>
      <c r="H32" s="157">
        <f t="shared" si="4"/>
        <v>8.4248977772610125</v>
      </c>
      <c r="I32" s="186">
        <f>36950000+50000000</f>
        <v>86950000</v>
      </c>
      <c r="J32" s="73">
        <f t="shared" si="7"/>
        <v>15.359477124183007</v>
      </c>
      <c r="K32" s="166">
        <f t="shared" si="8"/>
        <v>479150000</v>
      </c>
      <c r="L32" s="73">
        <f t="shared" si="9"/>
        <v>84.640522875816998</v>
      </c>
      <c r="N32" s="51">
        <v>164604727</v>
      </c>
      <c r="O32" s="36">
        <f t="shared" si="10"/>
        <v>-77654727</v>
      </c>
    </row>
    <row r="33" spans="1:15" ht="20.100000000000001" x14ac:dyDescent="0.25">
      <c r="A33" s="174"/>
      <c r="B33" s="178" t="s">
        <v>224</v>
      </c>
      <c r="C33" s="188" t="s">
        <v>69</v>
      </c>
      <c r="D33" s="138">
        <v>49180000</v>
      </c>
      <c r="E33" s="157">
        <f>D33/D27*100</f>
        <v>4.7652268278976031</v>
      </c>
      <c r="F33" s="157">
        <v>100</v>
      </c>
      <c r="G33" s="157">
        <f t="shared" si="5"/>
        <v>25.376169174461161</v>
      </c>
      <c r="H33" s="157">
        <f t="shared" si="4"/>
        <v>1.209232021394105</v>
      </c>
      <c r="I33" s="186">
        <f>4160000+8320000</f>
        <v>12480000</v>
      </c>
      <c r="J33" s="73">
        <f t="shared" si="7"/>
        <v>25.376169174461161</v>
      </c>
      <c r="K33" s="166">
        <f t="shared" si="8"/>
        <v>36700000</v>
      </c>
      <c r="L33" s="73">
        <f t="shared" si="9"/>
        <v>74.623830825538846</v>
      </c>
      <c r="N33" s="51">
        <v>5500000</v>
      </c>
      <c r="O33" s="36">
        <f t="shared" si="10"/>
        <v>6980000</v>
      </c>
    </row>
    <row r="34" spans="1:15" ht="20.100000000000001" x14ac:dyDescent="0.25">
      <c r="A34" s="174"/>
      <c r="B34" s="178" t="s">
        <v>225</v>
      </c>
      <c r="C34" s="188" t="s">
        <v>71</v>
      </c>
      <c r="D34" s="138">
        <v>121640000</v>
      </c>
      <c r="E34" s="157">
        <f>D34/D27*100</f>
        <v>11.786136464934209</v>
      </c>
      <c r="F34" s="157">
        <v>100</v>
      </c>
      <c r="G34" s="157">
        <f t="shared" si="5"/>
        <v>18.086155869779677</v>
      </c>
      <c r="H34" s="157">
        <f t="shared" si="4"/>
        <v>2.1316590120729417</v>
      </c>
      <c r="I34" s="186">
        <v>22000000</v>
      </c>
      <c r="J34" s="73">
        <f t="shared" si="7"/>
        <v>18.086155869779677</v>
      </c>
      <c r="K34" s="166">
        <f t="shared" si="8"/>
        <v>99640000</v>
      </c>
      <c r="L34" s="73">
        <f t="shared" si="9"/>
        <v>81.913844130220326</v>
      </c>
      <c r="N34" s="51">
        <v>44189500</v>
      </c>
      <c r="O34" s="36">
        <f t="shared" si="10"/>
        <v>-22189500</v>
      </c>
    </row>
    <row r="35" spans="1:15" ht="10.5" x14ac:dyDescent="0.25">
      <c r="A35" s="174"/>
      <c r="B35" s="46"/>
      <c r="C35" s="47"/>
      <c r="D35" s="138"/>
      <c r="E35" s="157"/>
      <c r="F35" s="157"/>
      <c r="G35" s="157"/>
      <c r="H35" s="157"/>
      <c r="I35" s="139"/>
      <c r="J35" s="73"/>
      <c r="K35" s="166"/>
      <c r="L35" s="73"/>
      <c r="N35" s="51"/>
      <c r="O35" s="36">
        <f t="shared" si="10"/>
        <v>0</v>
      </c>
    </row>
    <row r="36" spans="1:15" ht="20.100000000000001" x14ac:dyDescent="0.25">
      <c r="A36" s="172" t="s">
        <v>72</v>
      </c>
      <c r="B36" s="180" t="s">
        <v>226</v>
      </c>
      <c r="C36" s="38" t="s">
        <v>74</v>
      </c>
      <c r="D36" s="140">
        <f>SUM(D37:D38)</f>
        <v>93160000</v>
      </c>
      <c r="E36" s="156">
        <f>D36/D14*100</f>
        <v>0.72956725327666549</v>
      </c>
      <c r="F36" s="156">
        <v>100</v>
      </c>
      <c r="G36" s="156">
        <f>J36</f>
        <v>0</v>
      </c>
      <c r="H36" s="156">
        <f>G36*E36/100</f>
        <v>0</v>
      </c>
      <c r="I36" s="140">
        <f>SUM(I37:I38)</f>
        <v>0</v>
      </c>
      <c r="J36" s="163">
        <f>I36/D36*100</f>
        <v>0</v>
      </c>
      <c r="K36" s="165">
        <f>D36-I36</f>
        <v>93160000</v>
      </c>
      <c r="L36" s="73">
        <f>K36/D36*100</f>
        <v>100</v>
      </c>
      <c r="N36" s="51"/>
      <c r="O36" s="36"/>
    </row>
    <row r="37" spans="1:15" ht="20.100000000000001" x14ac:dyDescent="0.25">
      <c r="A37" s="174"/>
      <c r="B37" s="181" t="s">
        <v>227</v>
      </c>
      <c r="C37" s="188" t="s">
        <v>76</v>
      </c>
      <c r="D37" s="138">
        <v>37980000</v>
      </c>
      <c r="E37" s="157">
        <f>D37/D36*100</f>
        <v>40.76857020180335</v>
      </c>
      <c r="F37" s="157">
        <v>100</v>
      </c>
      <c r="G37" s="157">
        <f t="shared" si="5"/>
        <v>0</v>
      </c>
      <c r="H37" s="157">
        <f t="shared" si="4"/>
        <v>0</v>
      </c>
      <c r="I37" s="137">
        <v>0</v>
      </c>
      <c r="J37" s="73">
        <f>I37/D37*100</f>
        <v>0</v>
      </c>
      <c r="K37" s="166">
        <f>D37-I37</f>
        <v>37980000</v>
      </c>
      <c r="L37" s="73">
        <f>K37/D37*100</f>
        <v>100</v>
      </c>
      <c r="N37" s="51"/>
      <c r="O37" s="36"/>
    </row>
    <row r="38" spans="1:15" ht="20.100000000000001" x14ac:dyDescent="0.25">
      <c r="A38" s="174"/>
      <c r="B38" s="178" t="s">
        <v>228</v>
      </c>
      <c r="C38" s="188" t="s">
        <v>78</v>
      </c>
      <c r="D38" s="138">
        <v>55180000</v>
      </c>
      <c r="E38" s="157">
        <f>D38/D36*100</f>
        <v>59.231429798196658</v>
      </c>
      <c r="F38" s="157">
        <v>100</v>
      </c>
      <c r="G38" s="157">
        <f t="shared" si="5"/>
        <v>0</v>
      </c>
      <c r="H38" s="157">
        <f t="shared" si="4"/>
        <v>0</v>
      </c>
      <c r="I38" s="137">
        <v>0</v>
      </c>
      <c r="J38" s="73">
        <f>I38/D38*100</f>
        <v>0</v>
      </c>
      <c r="K38" s="166">
        <f>D38-I38</f>
        <v>55180000</v>
      </c>
      <c r="L38" s="73">
        <f>K38/D38*100</f>
        <v>100</v>
      </c>
      <c r="N38" s="51"/>
      <c r="O38" s="36"/>
    </row>
    <row r="39" spans="1:15" ht="10.5" x14ac:dyDescent="0.25">
      <c r="A39" s="174"/>
      <c r="B39" s="46"/>
      <c r="C39" s="47"/>
      <c r="D39" s="138"/>
      <c r="E39" s="157"/>
      <c r="F39" s="157"/>
      <c r="G39" s="157"/>
      <c r="H39" s="157"/>
      <c r="I39" s="137"/>
      <c r="J39" s="73"/>
      <c r="K39" s="166"/>
      <c r="L39" s="73"/>
      <c r="N39" s="51"/>
      <c r="O39" s="36"/>
    </row>
    <row r="40" spans="1:15" ht="30" x14ac:dyDescent="0.25">
      <c r="A40" s="172" t="s">
        <v>79</v>
      </c>
      <c r="B40" s="180" t="s">
        <v>229</v>
      </c>
      <c r="C40" s="27" t="str">
        <f>[1]April!$C$184</f>
        <v>Program Peningkatan Kapasitas Sumber Daya Aparatur</v>
      </c>
      <c r="D40" s="144">
        <f>D41</f>
        <v>170400000</v>
      </c>
      <c r="E40" s="156">
        <f>D40/D14*100</f>
        <v>1.3344596388830379</v>
      </c>
      <c r="F40" s="156">
        <f>AVERAGE(F41)</f>
        <v>100</v>
      </c>
      <c r="G40" s="156">
        <f>J40</f>
        <v>6.455399061032864</v>
      </c>
      <c r="H40" s="156">
        <f>G40*E40/100</f>
        <v>8.6144694998318172E-2</v>
      </c>
      <c r="I40" s="136">
        <f>I41</f>
        <v>11000000</v>
      </c>
      <c r="J40" s="163">
        <f>I40/D40*100</f>
        <v>6.455399061032864</v>
      </c>
      <c r="K40" s="165">
        <f>D40-I40</f>
        <v>159400000</v>
      </c>
      <c r="L40" s="73">
        <f>K40/D40*100</f>
        <v>93.544600938967136</v>
      </c>
      <c r="N40" s="31">
        <v>181250000</v>
      </c>
      <c r="O40" s="36">
        <f t="shared" ref="O40:O48" si="11">I40-N40</f>
        <v>-170250000</v>
      </c>
    </row>
    <row r="41" spans="1:15" ht="20.100000000000001" x14ac:dyDescent="0.25">
      <c r="A41" s="174"/>
      <c r="B41" s="178" t="s">
        <v>230</v>
      </c>
      <c r="C41" s="47" t="str">
        <f>[1]April!$C$185</f>
        <v>Peningkatan Kemampuan Teknis Aparatur</v>
      </c>
      <c r="D41" s="138">
        <v>170400000</v>
      </c>
      <c r="E41" s="157">
        <f>D41/D40*100</f>
        <v>100</v>
      </c>
      <c r="F41" s="157">
        <v>100</v>
      </c>
      <c r="G41" s="157">
        <f t="shared" si="5"/>
        <v>6.455399061032864</v>
      </c>
      <c r="H41" s="157">
        <f t="shared" si="4"/>
        <v>6.455399061032864</v>
      </c>
      <c r="I41" s="186">
        <f>10000000+1000000</f>
        <v>11000000</v>
      </c>
      <c r="J41" s="73">
        <f>I41/D41*100</f>
        <v>6.455399061032864</v>
      </c>
      <c r="K41" s="166">
        <f>D41-I41</f>
        <v>159400000</v>
      </c>
      <c r="L41" s="73">
        <f>K41/D41*100</f>
        <v>93.544600938967136</v>
      </c>
      <c r="N41" s="51">
        <v>181250000</v>
      </c>
      <c r="O41" s="36">
        <f t="shared" si="11"/>
        <v>-170250000</v>
      </c>
    </row>
    <row r="42" spans="1:15" ht="10.5" x14ac:dyDescent="0.25">
      <c r="A42" s="174"/>
      <c r="B42" s="46"/>
      <c r="C42" s="47"/>
      <c r="D42" s="138"/>
      <c r="E42" s="157"/>
      <c r="F42" s="157"/>
      <c r="G42" s="157"/>
      <c r="H42" s="157"/>
      <c r="I42" s="137"/>
      <c r="J42" s="73"/>
      <c r="K42" s="166"/>
      <c r="L42" s="73"/>
      <c r="N42" s="51"/>
      <c r="O42" s="36">
        <f t="shared" si="11"/>
        <v>0</v>
      </c>
    </row>
    <row r="43" spans="1:15" ht="39.950000000000003" x14ac:dyDescent="0.25">
      <c r="A43" s="172" t="s">
        <v>82</v>
      </c>
      <c r="B43" s="180" t="s">
        <v>231</v>
      </c>
      <c r="C43" s="27" t="str">
        <f>[1]April!$C$201</f>
        <v>Program peningkatan pengembangan sistem pelaporan capaian kinerja dan keuangan</v>
      </c>
      <c r="D43" s="144">
        <f>SUM(D44:D50)</f>
        <v>1168800000</v>
      </c>
      <c r="E43" s="156">
        <f>D43/D14*100</f>
        <v>9.1532654103667532</v>
      </c>
      <c r="F43" s="156">
        <f>AVERAGE(F44:F48)</f>
        <v>100</v>
      </c>
      <c r="G43" s="156">
        <f>J43</f>
        <v>26.915323408624232</v>
      </c>
      <c r="H43" s="156">
        <f>G43*E43/100</f>
        <v>2.4636309876499478</v>
      </c>
      <c r="I43" s="136">
        <f>SUM(I44:I50)</f>
        <v>314586300</v>
      </c>
      <c r="J43" s="163">
        <f t="shared" ref="J43:J50" si="12">I43/D43*100</f>
        <v>26.915323408624232</v>
      </c>
      <c r="K43" s="165">
        <f t="shared" ref="K43:K48" si="13">D43-I43</f>
        <v>854213700</v>
      </c>
      <c r="L43" s="73">
        <f t="shared" ref="L43:L48" si="14">K43/D43*100</f>
        <v>73.084676591375768</v>
      </c>
      <c r="N43" s="31">
        <v>367965100</v>
      </c>
      <c r="O43" s="36">
        <f t="shared" si="11"/>
        <v>-53378800</v>
      </c>
    </row>
    <row r="44" spans="1:15" ht="30" x14ac:dyDescent="0.25">
      <c r="A44" s="174"/>
      <c r="B44" s="178" t="s">
        <v>232</v>
      </c>
      <c r="C44" s="188" t="str">
        <f>[1]April!$C$202</f>
        <v>Penyusunan laporan capaian kinerja dan ikhtisar realisasi kinerja SKPD</v>
      </c>
      <c r="D44" s="138">
        <v>75120000</v>
      </c>
      <c r="E44" s="157">
        <f>D44/D43*100</f>
        <v>6.4271047227926079</v>
      </c>
      <c r="F44" s="157">
        <v>100</v>
      </c>
      <c r="G44" s="157">
        <f t="shared" si="5"/>
        <v>17.305644302449412</v>
      </c>
      <c r="H44" s="157">
        <f t="shared" si="4"/>
        <v>1.1122518822724161</v>
      </c>
      <c r="I44" s="186">
        <f>5000000+3000000+5000000</f>
        <v>13000000</v>
      </c>
      <c r="J44" s="73">
        <f t="shared" si="12"/>
        <v>17.305644302449412</v>
      </c>
      <c r="K44" s="166">
        <f t="shared" si="13"/>
        <v>62120000</v>
      </c>
      <c r="L44" s="73">
        <f t="shared" si="14"/>
        <v>82.694355697550577</v>
      </c>
      <c r="N44" s="51">
        <v>68257500</v>
      </c>
      <c r="O44" s="36">
        <f t="shared" si="11"/>
        <v>-55257500</v>
      </c>
    </row>
    <row r="45" spans="1:15" ht="20.100000000000001" x14ac:dyDescent="0.25">
      <c r="A45" s="172"/>
      <c r="B45" s="178" t="s">
        <v>233</v>
      </c>
      <c r="C45" s="188" t="str">
        <f>[1]April!$C$213</f>
        <v>Penyusunan pelaporan keuangan semesteran</v>
      </c>
      <c r="D45" s="138">
        <v>40860000</v>
      </c>
      <c r="E45" s="157">
        <f>D45/D43*100</f>
        <v>3.4958932238193019</v>
      </c>
      <c r="F45" s="157">
        <v>100</v>
      </c>
      <c r="G45" s="157">
        <f t="shared" si="5"/>
        <v>18.007831620166424</v>
      </c>
      <c r="H45" s="157">
        <f t="shared" si="4"/>
        <v>0.62953456536618768</v>
      </c>
      <c r="I45" s="186">
        <v>7358000</v>
      </c>
      <c r="J45" s="73">
        <f t="shared" si="12"/>
        <v>18.007831620166424</v>
      </c>
      <c r="K45" s="166">
        <f t="shared" si="13"/>
        <v>33502000</v>
      </c>
      <c r="L45" s="73">
        <f t="shared" si="14"/>
        <v>81.992168379833572</v>
      </c>
      <c r="N45" s="51">
        <v>9057850</v>
      </c>
      <c r="O45" s="36">
        <f t="shared" si="11"/>
        <v>-1699850</v>
      </c>
    </row>
    <row r="46" spans="1:15" ht="20.100000000000001" x14ac:dyDescent="0.25">
      <c r="A46" s="174"/>
      <c r="B46" s="178" t="s">
        <v>234</v>
      </c>
      <c r="C46" s="188" t="str">
        <f>[1]April!$C$231</f>
        <v>penyusunan pelaporan keuangan akhir tahun</v>
      </c>
      <c r="D46" s="138">
        <v>17780000</v>
      </c>
      <c r="E46" s="157">
        <f>D46/D43*100</f>
        <v>1.5212183436002737</v>
      </c>
      <c r="F46" s="157">
        <v>100</v>
      </c>
      <c r="G46" s="157">
        <f t="shared" si="5"/>
        <v>62.535433070866141</v>
      </c>
      <c r="H46" s="157">
        <f t="shared" si="4"/>
        <v>0.95130047912388771</v>
      </c>
      <c r="I46" s="186">
        <v>11118800</v>
      </c>
      <c r="J46" s="73">
        <f t="shared" si="12"/>
        <v>62.535433070866141</v>
      </c>
      <c r="K46" s="166">
        <f t="shared" si="13"/>
        <v>6661200</v>
      </c>
      <c r="L46" s="73">
        <f t="shared" si="14"/>
        <v>37.464566929133859</v>
      </c>
      <c r="N46" s="51">
        <v>10986750</v>
      </c>
      <c r="O46" s="36">
        <f t="shared" si="11"/>
        <v>132050</v>
      </c>
    </row>
    <row r="47" spans="1:15" ht="20.100000000000001" x14ac:dyDescent="0.25">
      <c r="A47" s="174"/>
      <c r="B47" s="178" t="s">
        <v>235</v>
      </c>
      <c r="C47" s="188" t="str">
        <f>[1]April!$C$249</f>
        <v>Penyusunan Rencana Kerja dan Anggaran SKPD</v>
      </c>
      <c r="D47" s="138">
        <v>48590000</v>
      </c>
      <c r="E47" s="157">
        <f>D47/D43*100</f>
        <v>4.1572553045859006</v>
      </c>
      <c r="F47" s="157">
        <v>100</v>
      </c>
      <c r="G47" s="157">
        <f t="shared" si="5"/>
        <v>0</v>
      </c>
      <c r="H47" s="157">
        <f t="shared" si="4"/>
        <v>0</v>
      </c>
      <c r="I47" s="137">
        <v>0</v>
      </c>
      <c r="J47" s="73">
        <f t="shared" si="12"/>
        <v>0</v>
      </c>
      <c r="K47" s="166">
        <f t="shared" si="13"/>
        <v>48590000</v>
      </c>
      <c r="L47" s="73">
        <f t="shared" si="14"/>
        <v>100</v>
      </c>
      <c r="N47" s="51">
        <v>178186000</v>
      </c>
      <c r="O47" s="36">
        <f t="shared" si="11"/>
        <v>-178186000</v>
      </c>
    </row>
    <row r="48" spans="1:15" ht="30" x14ac:dyDescent="0.25">
      <c r="A48" s="174"/>
      <c r="B48" s="178" t="s">
        <v>236</v>
      </c>
      <c r="C48" s="188" t="str">
        <f>[1]April!$C$266</f>
        <v>Penyediaan Data, Dokumentasi, Informatika dan Komunikasi SKPD</v>
      </c>
      <c r="D48" s="138">
        <v>805500000</v>
      </c>
      <c r="E48" s="157">
        <f>D48/D43*100</f>
        <v>68.916837782340863</v>
      </c>
      <c r="F48" s="157">
        <v>100</v>
      </c>
      <c r="G48" s="157">
        <f t="shared" si="5"/>
        <v>25.92427063935444</v>
      </c>
      <c r="H48" s="157">
        <f t="shared" si="4"/>
        <v>17.866187542778917</v>
      </c>
      <c r="I48" s="186">
        <f>28600000+180220000</f>
        <v>208820000</v>
      </c>
      <c r="J48" s="73">
        <f t="shared" si="12"/>
        <v>25.92427063935444</v>
      </c>
      <c r="K48" s="166">
        <f t="shared" si="13"/>
        <v>596680000</v>
      </c>
      <c r="L48" s="73">
        <f t="shared" si="14"/>
        <v>74.075729360645553</v>
      </c>
      <c r="N48" s="51">
        <v>68048000</v>
      </c>
      <c r="O48" s="36">
        <f t="shared" si="11"/>
        <v>140772000</v>
      </c>
    </row>
    <row r="49" spans="1:15" ht="20.100000000000001" x14ac:dyDescent="0.25">
      <c r="A49" s="174"/>
      <c r="B49" s="178" t="s">
        <v>237</v>
      </c>
      <c r="C49" s="188" t="s">
        <v>92</v>
      </c>
      <c r="D49" s="138">
        <v>83650000</v>
      </c>
      <c r="E49" s="157">
        <f>D49/D43*100</f>
        <v>7.1569130732375088</v>
      </c>
      <c r="F49" s="157">
        <v>100</v>
      </c>
      <c r="G49" s="157">
        <f t="shared" si="5"/>
        <v>81.637178720860732</v>
      </c>
      <c r="H49" s="157">
        <f t="shared" si="4"/>
        <v>5.8427019164955514</v>
      </c>
      <c r="I49" s="137">
        <f>63858000+4431500</f>
        <v>68289500</v>
      </c>
      <c r="J49" s="73">
        <f t="shared" si="12"/>
        <v>81.637178720860732</v>
      </c>
      <c r="K49" s="166">
        <f>D49-I49</f>
        <v>15360500</v>
      </c>
      <c r="L49" s="73">
        <f>K49/D49*100</f>
        <v>18.362821279139272</v>
      </c>
      <c r="N49" s="51"/>
      <c r="O49" s="36"/>
    </row>
    <row r="50" spans="1:15" ht="10.5" x14ac:dyDescent="0.25">
      <c r="A50" s="174"/>
      <c r="B50" s="178" t="s">
        <v>238</v>
      </c>
      <c r="C50" s="188" t="s">
        <v>197</v>
      </c>
      <c r="D50" s="138">
        <v>97300000</v>
      </c>
      <c r="E50" s="157">
        <f>D50/D43*100</f>
        <v>8.3247775496235459</v>
      </c>
      <c r="F50" s="157">
        <v>100</v>
      </c>
      <c r="G50" s="157">
        <f t="shared" si="5"/>
        <v>6.166495375128469</v>
      </c>
      <c r="H50" s="157">
        <f t="shared" si="4"/>
        <v>0.51334702258726905</v>
      </c>
      <c r="I50" s="186">
        <f>5000000+1000000</f>
        <v>6000000</v>
      </c>
      <c r="J50" s="73">
        <f t="shared" si="12"/>
        <v>6.166495375128469</v>
      </c>
      <c r="K50" s="166">
        <f>D50-I50</f>
        <v>91300000</v>
      </c>
      <c r="L50" s="73">
        <f>K50/D50*100</f>
        <v>93.833504624871537</v>
      </c>
      <c r="N50" s="51"/>
      <c r="O50" s="36"/>
    </row>
    <row r="51" spans="1:15" ht="10.5" x14ac:dyDescent="0.25">
      <c r="A51" s="172"/>
      <c r="B51" s="26"/>
      <c r="C51" s="67"/>
      <c r="D51" s="147"/>
      <c r="E51" s="157"/>
      <c r="F51" s="157"/>
      <c r="G51" s="157"/>
      <c r="H51" s="157"/>
      <c r="I51" s="137"/>
      <c r="J51" s="73"/>
      <c r="K51" s="166"/>
      <c r="L51" s="73"/>
      <c r="N51" s="51"/>
      <c r="O51" s="36">
        <f>I51-N51</f>
        <v>0</v>
      </c>
    </row>
    <row r="52" spans="1:15" ht="20.100000000000001" x14ac:dyDescent="0.25">
      <c r="A52" s="172" t="s">
        <v>93</v>
      </c>
      <c r="B52" s="180" t="s">
        <v>239</v>
      </c>
      <c r="C52" s="27" t="str">
        <f>[1]April!$C$298</f>
        <v>Program pengembangan data/informasi</v>
      </c>
      <c r="D52" s="144">
        <f>SUM(D53:D56)</f>
        <v>910140000</v>
      </c>
      <c r="E52" s="156">
        <f>D52/D14*100</f>
        <v>7.1276120641608447</v>
      </c>
      <c r="F52" s="156">
        <f>AVERAGE(F55:F57)</f>
        <v>100</v>
      </c>
      <c r="G52" s="156">
        <f>J52</f>
        <v>5.5628804359768829</v>
      </c>
      <c r="H52" s="156">
        <f>G52*E52/100</f>
        <v>0.39650053706953176</v>
      </c>
      <c r="I52" s="136">
        <f>SUM(I53:I56)</f>
        <v>50630000</v>
      </c>
      <c r="J52" s="163">
        <f>I52/D52*100</f>
        <v>5.5628804359768829</v>
      </c>
      <c r="K52" s="165">
        <f>D52-I52</f>
        <v>859510000</v>
      </c>
      <c r="L52" s="73">
        <f>K52/D52*100</f>
        <v>94.437119564023121</v>
      </c>
      <c r="N52" s="31">
        <v>1027715002</v>
      </c>
      <c r="O52" s="36">
        <f>I52-N52</f>
        <v>-977085002</v>
      </c>
    </row>
    <row r="53" spans="1:15" ht="39.950000000000003" x14ac:dyDescent="0.25">
      <c r="A53" s="172"/>
      <c r="B53" s="181" t="s">
        <v>242</v>
      </c>
      <c r="C53" s="188" t="s">
        <v>96</v>
      </c>
      <c r="D53" s="145">
        <v>172140000</v>
      </c>
      <c r="E53" s="157">
        <f>D53/D52*100</f>
        <v>18.913573735908763</v>
      </c>
      <c r="F53" s="157">
        <v>100</v>
      </c>
      <c r="G53" s="157">
        <f t="shared" si="5"/>
        <v>27.669338910189378</v>
      </c>
      <c r="H53" s="157">
        <f t="shared" si="4"/>
        <v>5.2332608170171628</v>
      </c>
      <c r="I53" s="137">
        <v>47630000</v>
      </c>
      <c r="J53" s="73">
        <f>I53/D53*100</f>
        <v>27.669338910189378</v>
      </c>
      <c r="K53" s="166">
        <f>D53-I53</f>
        <v>124510000</v>
      </c>
      <c r="L53" s="73">
        <f>K53/D53*100</f>
        <v>72.330661089810619</v>
      </c>
      <c r="N53" s="31"/>
      <c r="O53" s="36"/>
    </row>
    <row r="54" spans="1:15" ht="39.950000000000003" x14ac:dyDescent="0.25">
      <c r="A54" s="172"/>
      <c r="B54" s="181" t="s">
        <v>243</v>
      </c>
      <c r="C54" s="188" t="s">
        <v>98</v>
      </c>
      <c r="D54" s="145">
        <v>296100000</v>
      </c>
      <c r="E54" s="157">
        <f>D54/D52*100</f>
        <v>32.533456391324414</v>
      </c>
      <c r="F54" s="157">
        <v>100</v>
      </c>
      <c r="G54" s="157">
        <f t="shared" si="5"/>
        <v>0</v>
      </c>
      <c r="H54" s="157">
        <f t="shared" si="4"/>
        <v>0</v>
      </c>
      <c r="I54" s="137">
        <v>0</v>
      </c>
      <c r="J54" s="73">
        <f>I54/D54*100</f>
        <v>0</v>
      </c>
      <c r="K54" s="166">
        <f>D54-I54</f>
        <v>296100000</v>
      </c>
      <c r="L54" s="73">
        <f>K54/D54*100</f>
        <v>100</v>
      </c>
      <c r="N54" s="31"/>
      <c r="O54" s="36"/>
    </row>
    <row r="55" spans="1:15" ht="30" x14ac:dyDescent="0.25">
      <c r="A55" s="174"/>
      <c r="B55" s="181" t="s">
        <v>244</v>
      </c>
      <c r="C55" s="188" t="str">
        <f>[1]April!$C$320</f>
        <v>Penyusunan dan anlisis data/informasi perencanaan pembangunan ekonomi</v>
      </c>
      <c r="D55" s="138">
        <v>245260000</v>
      </c>
      <c r="E55" s="157">
        <f>D55/D52*100</f>
        <v>26.947502582020348</v>
      </c>
      <c r="F55" s="157">
        <v>100</v>
      </c>
      <c r="G55" s="157">
        <f t="shared" si="5"/>
        <v>1.2231917149147844</v>
      </c>
      <c r="H55" s="157">
        <f t="shared" si="4"/>
        <v>0.32961961895972053</v>
      </c>
      <c r="I55" s="186">
        <v>3000000</v>
      </c>
      <c r="J55" s="73">
        <f>I55/D55*100</f>
        <v>1.2231917149147844</v>
      </c>
      <c r="K55" s="166">
        <f>D55-I55</f>
        <v>242260000</v>
      </c>
      <c r="L55" s="73">
        <f>K55/D55*100</f>
        <v>98.77680828508521</v>
      </c>
      <c r="N55" s="51">
        <v>252795000</v>
      </c>
      <c r="O55" s="36">
        <f>I55-N55</f>
        <v>-249795000</v>
      </c>
    </row>
    <row r="56" spans="1:15" ht="10.5" x14ac:dyDescent="0.25">
      <c r="A56" s="174"/>
      <c r="B56" s="181" t="s">
        <v>245</v>
      </c>
      <c r="C56" s="188" t="str">
        <f>[1]April!$C$337</f>
        <v>Penyusunan profile daerah</v>
      </c>
      <c r="D56" s="138">
        <v>196640000</v>
      </c>
      <c r="E56" s="157">
        <f>D56/D52*100</f>
        <v>21.605467290746478</v>
      </c>
      <c r="F56" s="157">
        <v>100</v>
      </c>
      <c r="G56" s="157">
        <f t="shared" si="5"/>
        <v>0</v>
      </c>
      <c r="H56" s="157">
        <f t="shared" si="4"/>
        <v>0</v>
      </c>
      <c r="I56" s="137">
        <v>0</v>
      </c>
      <c r="J56" s="73">
        <f>I56/D56*100</f>
        <v>0</v>
      </c>
      <c r="K56" s="166">
        <f>D56-I56</f>
        <v>196640000</v>
      </c>
      <c r="L56" s="73">
        <f>K56/D56*100</f>
        <v>100</v>
      </c>
      <c r="N56" s="51">
        <v>362347000</v>
      </c>
      <c r="O56" s="36">
        <f>I56-N56</f>
        <v>-362347000</v>
      </c>
    </row>
    <row r="57" spans="1:15" ht="10.5" x14ac:dyDescent="0.25">
      <c r="A57" s="174"/>
      <c r="B57" s="46"/>
      <c r="C57" s="47"/>
      <c r="D57" s="148"/>
      <c r="E57" s="157"/>
      <c r="F57" s="157"/>
      <c r="G57" s="157"/>
      <c r="H57" s="157"/>
      <c r="I57" s="137"/>
      <c r="J57" s="73"/>
      <c r="K57" s="166"/>
      <c r="L57" s="73"/>
      <c r="N57" s="51"/>
      <c r="O57" s="36">
        <f>I57-N57</f>
        <v>0</v>
      </c>
    </row>
    <row r="58" spans="1:15" ht="20.100000000000001" x14ac:dyDescent="0.25">
      <c r="A58" s="172" t="s">
        <v>101</v>
      </c>
      <c r="B58" s="180" t="s">
        <v>240</v>
      </c>
      <c r="C58" s="27" t="str">
        <f>[2]Sheet1!$I$55</f>
        <v>Program Kerjasama Pembangunan</v>
      </c>
      <c r="D58" s="144">
        <f>D59</f>
        <v>283730000</v>
      </c>
      <c r="E58" s="156">
        <f>D58/D14*100</f>
        <v>2.2219849374429832</v>
      </c>
      <c r="F58" s="156">
        <f>AVERAGE(F59)</f>
        <v>100</v>
      </c>
      <c r="G58" s="156">
        <f t="shared" si="5"/>
        <v>8.9297924082754729</v>
      </c>
      <c r="H58" s="156">
        <f t="shared" si="4"/>
        <v>0.19841864225680803</v>
      </c>
      <c r="I58" s="136">
        <f>I59</f>
        <v>25336500</v>
      </c>
      <c r="J58" s="163">
        <f>I58/D58*100</f>
        <v>8.9297924082754729</v>
      </c>
      <c r="K58" s="165">
        <f>D58-I58</f>
        <v>258393500</v>
      </c>
      <c r="L58" s="73">
        <f>K58/D58*100</f>
        <v>91.070207591724525</v>
      </c>
      <c r="N58" s="31">
        <v>633632330</v>
      </c>
      <c r="O58" s="36">
        <f>I58-N58</f>
        <v>-608295830</v>
      </c>
    </row>
    <row r="59" spans="1:15" ht="20.100000000000001" x14ac:dyDescent="0.25">
      <c r="A59" s="174"/>
      <c r="B59" s="181" t="s">
        <v>246</v>
      </c>
      <c r="C59" s="47" t="str">
        <f>[2]Sheet1!$I$56</f>
        <v>Koordinasi dalam pemecahan masalah-masalah daerah</v>
      </c>
      <c r="D59" s="148">
        <v>283730000</v>
      </c>
      <c r="E59" s="157">
        <f>D59/D58*100</f>
        <v>100</v>
      </c>
      <c r="F59" s="157">
        <v>100</v>
      </c>
      <c r="G59" s="157">
        <f t="shared" si="5"/>
        <v>8.9297924082754729</v>
      </c>
      <c r="H59" s="157">
        <f t="shared" si="4"/>
        <v>8.9297924082754729</v>
      </c>
      <c r="I59" s="186">
        <f>9400000+15936500</f>
        <v>25336500</v>
      </c>
      <c r="J59" s="73">
        <f>I59/D59*100</f>
        <v>8.9297924082754729</v>
      </c>
      <c r="K59" s="166">
        <f>D59-I59</f>
        <v>258393500</v>
      </c>
      <c r="L59" s="73">
        <f>K59/D59*100</f>
        <v>91.070207591724525</v>
      </c>
      <c r="N59" s="51">
        <v>633632330</v>
      </c>
      <c r="O59" s="36">
        <f>I59-N59</f>
        <v>-608295830</v>
      </c>
    </row>
    <row r="60" spans="1:15" ht="20.100000000000001" hidden="1" x14ac:dyDescent="0.25">
      <c r="A60" s="173" t="s">
        <v>104</v>
      </c>
      <c r="B60" s="37" t="s">
        <v>105</v>
      </c>
      <c r="C60" s="38" t="s">
        <v>106</v>
      </c>
      <c r="D60" s="149">
        <f>SUM(D61:D62)</f>
        <v>464365100</v>
      </c>
      <c r="E60" s="156">
        <f>D60/D14*100</f>
        <v>3.6365990824875918</v>
      </c>
      <c r="F60" s="156">
        <v>100</v>
      </c>
      <c r="G60" s="157">
        <f t="shared" si="5"/>
        <v>0</v>
      </c>
      <c r="H60" s="157">
        <f t="shared" si="4"/>
        <v>0</v>
      </c>
      <c r="I60" s="137"/>
      <c r="J60" s="73">
        <v>0</v>
      </c>
      <c r="K60" s="166">
        <f t="shared" ref="K60:K69" si="15">D60-I60</f>
        <v>464365100</v>
      </c>
      <c r="L60" s="73">
        <f t="shared" ref="L60:L66" si="16">K60/D60*100</f>
        <v>100</v>
      </c>
      <c r="N60" s="51"/>
      <c r="O60" s="36"/>
    </row>
    <row r="61" spans="1:15" ht="20.100000000000001" hidden="1" x14ac:dyDescent="0.25">
      <c r="A61" s="174"/>
      <c r="B61" s="46" t="s">
        <v>107</v>
      </c>
      <c r="C61" s="47" t="s">
        <v>108</v>
      </c>
      <c r="D61" s="148">
        <v>139365100</v>
      </c>
      <c r="E61" s="157">
        <f>D61/D60*100</f>
        <v>30.011966876925072</v>
      </c>
      <c r="F61" s="157">
        <v>100</v>
      </c>
      <c r="G61" s="157">
        <f t="shared" si="5"/>
        <v>0</v>
      </c>
      <c r="H61" s="157">
        <f t="shared" si="4"/>
        <v>0</v>
      </c>
      <c r="I61" s="137"/>
      <c r="J61" s="73">
        <v>0</v>
      </c>
      <c r="K61" s="166">
        <f t="shared" si="15"/>
        <v>139365100</v>
      </c>
      <c r="L61" s="73">
        <f t="shared" si="16"/>
        <v>100</v>
      </c>
      <c r="N61" s="51"/>
      <c r="O61" s="36"/>
    </row>
    <row r="62" spans="1:15" ht="20.100000000000001" hidden="1" x14ac:dyDescent="0.25">
      <c r="A62" s="174"/>
      <c r="B62" s="46" t="s">
        <v>109</v>
      </c>
      <c r="C62" s="47" t="s">
        <v>110</v>
      </c>
      <c r="D62" s="148">
        <v>325000000</v>
      </c>
      <c r="E62" s="157">
        <f>D62/D60*100</f>
        <v>69.988033123074928</v>
      </c>
      <c r="F62" s="157">
        <v>100</v>
      </c>
      <c r="G62" s="157">
        <f t="shared" si="5"/>
        <v>0</v>
      </c>
      <c r="H62" s="157">
        <f t="shared" si="4"/>
        <v>0</v>
      </c>
      <c r="I62" s="137"/>
      <c r="J62" s="73">
        <v>0</v>
      </c>
      <c r="K62" s="166">
        <f t="shared" si="15"/>
        <v>325000000</v>
      </c>
      <c r="L62" s="73">
        <f t="shared" si="16"/>
        <v>100</v>
      </c>
      <c r="N62" s="51"/>
      <c r="O62" s="36"/>
    </row>
    <row r="63" spans="1:15" ht="10.5" hidden="1" x14ac:dyDescent="0.25">
      <c r="A63" s="172"/>
      <c r="B63" s="26"/>
      <c r="C63" s="67"/>
      <c r="D63" s="150"/>
      <c r="E63" s="156"/>
      <c r="F63" s="156"/>
      <c r="G63" s="157"/>
      <c r="H63" s="157">
        <f t="shared" si="4"/>
        <v>0</v>
      </c>
      <c r="I63" s="137"/>
      <c r="J63" s="73"/>
      <c r="K63" s="166"/>
      <c r="L63" s="73" t="e">
        <f t="shared" si="16"/>
        <v>#DIV/0!</v>
      </c>
      <c r="N63" s="51"/>
      <c r="O63" s="36"/>
    </row>
    <row r="64" spans="1:15" ht="10.5" x14ac:dyDescent="0.25">
      <c r="A64" s="172"/>
      <c r="B64" s="26"/>
      <c r="C64" s="67"/>
      <c r="D64" s="150"/>
      <c r="E64" s="156"/>
      <c r="F64" s="156"/>
      <c r="G64" s="157"/>
      <c r="H64" s="157"/>
      <c r="I64" s="137"/>
      <c r="J64" s="73"/>
      <c r="K64" s="166"/>
      <c r="L64" s="73"/>
      <c r="N64" s="51"/>
      <c r="O64" s="36"/>
    </row>
    <row r="65" spans="1:15" ht="20.100000000000001" x14ac:dyDescent="0.25">
      <c r="A65" s="172" t="s">
        <v>104</v>
      </c>
      <c r="B65" s="180" t="s">
        <v>241</v>
      </c>
      <c r="C65" s="67" t="s">
        <v>106</v>
      </c>
      <c r="D65" s="139">
        <f>D66</f>
        <v>132870000</v>
      </c>
      <c r="E65" s="156">
        <f>D65/D14*100</f>
        <v>1.040549602220594</v>
      </c>
      <c r="F65" s="156">
        <f>AVERAGE(F66)</f>
        <v>100</v>
      </c>
      <c r="G65" s="156">
        <f>J65</f>
        <v>0</v>
      </c>
      <c r="H65" s="156">
        <f>G65*E65/100</f>
        <v>0</v>
      </c>
      <c r="I65" s="139">
        <f>I66</f>
        <v>0</v>
      </c>
      <c r="J65" s="163">
        <f>I65/D65*100</f>
        <v>0</v>
      </c>
      <c r="K65" s="165">
        <f>D65-I65</f>
        <v>132870000</v>
      </c>
      <c r="L65" s="73">
        <f t="shared" si="16"/>
        <v>100</v>
      </c>
      <c r="N65" s="51"/>
      <c r="O65" s="36"/>
    </row>
    <row r="66" spans="1:15" ht="20.100000000000001" x14ac:dyDescent="0.25">
      <c r="A66" s="172"/>
      <c r="B66" s="181" t="s">
        <v>247</v>
      </c>
      <c r="C66" s="52" t="s">
        <v>199</v>
      </c>
      <c r="D66" s="137">
        <v>132870000</v>
      </c>
      <c r="E66" s="157">
        <f>D66/D65*100</f>
        <v>100</v>
      </c>
      <c r="F66" s="157">
        <v>100</v>
      </c>
      <c r="G66" s="157">
        <f>J66</f>
        <v>0</v>
      </c>
      <c r="H66" s="157">
        <f>G66*E66/100</f>
        <v>0</v>
      </c>
      <c r="I66" s="137">
        <v>0</v>
      </c>
      <c r="J66" s="73">
        <f>I66/D66*100</f>
        <v>0</v>
      </c>
      <c r="K66" s="166">
        <f>D66-I66</f>
        <v>132870000</v>
      </c>
      <c r="L66" s="73">
        <f t="shared" si="16"/>
        <v>100</v>
      </c>
      <c r="N66" s="51"/>
      <c r="O66" s="36"/>
    </row>
    <row r="67" spans="1:15" ht="10.5" x14ac:dyDescent="0.25">
      <c r="A67" s="172"/>
      <c r="B67" s="46"/>
      <c r="C67" s="52"/>
      <c r="D67" s="137"/>
      <c r="E67" s="157"/>
      <c r="F67" s="157"/>
      <c r="G67" s="157"/>
      <c r="H67" s="157"/>
      <c r="I67" s="137"/>
      <c r="J67" s="73"/>
      <c r="K67" s="166"/>
      <c r="L67" s="73"/>
      <c r="N67" s="51"/>
      <c r="O67" s="36"/>
    </row>
    <row r="68" spans="1:15" ht="30" x14ac:dyDescent="0.25">
      <c r="A68" s="172" t="s">
        <v>115</v>
      </c>
      <c r="B68" s="180" t="s">
        <v>248</v>
      </c>
      <c r="C68" s="27" t="s">
        <v>112</v>
      </c>
      <c r="D68" s="144">
        <f>D69</f>
        <v>174480000</v>
      </c>
      <c r="E68" s="156">
        <f>D68/D14*100</f>
        <v>1.3664114893915047</v>
      </c>
      <c r="F68" s="156">
        <f>AVERAGE(F69)</f>
        <v>100</v>
      </c>
      <c r="G68" s="156">
        <f>J68</f>
        <v>0</v>
      </c>
      <c r="H68" s="156">
        <f>G68*E68/100</f>
        <v>0</v>
      </c>
      <c r="I68" s="136">
        <f>I69</f>
        <v>0</v>
      </c>
      <c r="J68" s="163">
        <f>I68/D68*100</f>
        <v>0</v>
      </c>
      <c r="K68" s="165">
        <f t="shared" si="15"/>
        <v>174480000</v>
      </c>
      <c r="L68" s="73">
        <f>K68/D68*100</f>
        <v>100</v>
      </c>
      <c r="N68" s="51"/>
      <c r="O68" s="36"/>
    </row>
    <row r="69" spans="1:15" ht="30" x14ac:dyDescent="0.25">
      <c r="A69" s="172"/>
      <c r="B69" s="181" t="s">
        <v>249</v>
      </c>
      <c r="C69" s="47" t="s">
        <v>291</v>
      </c>
      <c r="D69" s="148">
        <v>174480000</v>
      </c>
      <c r="E69" s="157">
        <f>D69/D68*100</f>
        <v>100</v>
      </c>
      <c r="F69" s="157">
        <v>100</v>
      </c>
      <c r="G69" s="157">
        <f>J69</f>
        <v>0</v>
      </c>
      <c r="H69" s="157">
        <f>G69*E69/100</f>
        <v>0</v>
      </c>
      <c r="I69" s="137">
        <v>0</v>
      </c>
      <c r="J69" s="73">
        <f>I69/D69*100</f>
        <v>0</v>
      </c>
      <c r="K69" s="166">
        <f t="shared" si="15"/>
        <v>174480000</v>
      </c>
      <c r="L69" s="73">
        <f>K69/D69*100</f>
        <v>100</v>
      </c>
      <c r="N69" s="51"/>
      <c r="O69" s="36"/>
    </row>
    <row r="70" spans="1:15" ht="10.5" x14ac:dyDescent="0.25">
      <c r="A70" s="172"/>
      <c r="B70" s="26"/>
      <c r="C70" s="67"/>
      <c r="D70" s="150"/>
      <c r="E70" s="156"/>
      <c r="F70" s="156"/>
      <c r="G70" s="157"/>
      <c r="H70" s="157"/>
      <c r="I70" s="137"/>
      <c r="J70" s="73"/>
      <c r="K70" s="166"/>
      <c r="L70" s="73"/>
      <c r="N70" s="51"/>
      <c r="O70" s="36"/>
    </row>
    <row r="71" spans="1:15" ht="30" x14ac:dyDescent="0.25">
      <c r="A71" s="172" t="s">
        <v>121</v>
      </c>
      <c r="B71" s="180" t="s">
        <v>250</v>
      </c>
      <c r="C71" s="27" t="s">
        <v>117</v>
      </c>
      <c r="D71" s="144">
        <f>SUM(D72:D74)</f>
        <v>736280000</v>
      </c>
      <c r="E71" s="156">
        <f>D71/D14*100</f>
        <v>5.7660560030328813</v>
      </c>
      <c r="F71" s="156">
        <v>100</v>
      </c>
      <c r="G71" s="156">
        <f>J71</f>
        <v>2.7821616776226432</v>
      </c>
      <c r="H71" s="156">
        <f>G71*E71/100</f>
        <v>0.16042100042664076</v>
      </c>
      <c r="I71" s="136">
        <f>SUM(I72:I74)</f>
        <v>20484500</v>
      </c>
      <c r="J71" s="163">
        <f>I71/D71*100</f>
        <v>2.7821616776226432</v>
      </c>
      <c r="K71" s="165">
        <f>D71-I71</f>
        <v>715795500</v>
      </c>
      <c r="L71" s="73">
        <f>K71/D71*100</f>
        <v>97.217838322377361</v>
      </c>
      <c r="N71" s="31">
        <v>633632330</v>
      </c>
      <c r="O71" s="36">
        <f t="shared" ref="O71:O82" si="17">I71-N71</f>
        <v>-613147830</v>
      </c>
    </row>
    <row r="72" spans="1:15" ht="35.25" customHeight="1" x14ac:dyDescent="0.25">
      <c r="A72" s="172"/>
      <c r="B72" s="181" t="s">
        <v>251</v>
      </c>
      <c r="C72" s="189" t="str">
        <f>[2]Sheet1!$I$59</f>
        <v>Koordinasi penyelesaian permasalahan transportasi perkotaan</v>
      </c>
      <c r="D72" s="151">
        <v>296840000</v>
      </c>
      <c r="E72" s="157">
        <f>D72/D71*100</f>
        <v>40.3161840604118</v>
      </c>
      <c r="F72" s="157">
        <v>100</v>
      </c>
      <c r="G72" s="157">
        <f>J72</f>
        <v>0</v>
      </c>
      <c r="H72" s="157">
        <f>G72*E72/100</f>
        <v>0</v>
      </c>
      <c r="I72" s="137">
        <v>0</v>
      </c>
      <c r="J72" s="73">
        <f>I72/D72*100</f>
        <v>0</v>
      </c>
      <c r="K72" s="166">
        <f>D72-I72</f>
        <v>296840000</v>
      </c>
      <c r="L72" s="73">
        <f>K72/D72*100</f>
        <v>100</v>
      </c>
      <c r="N72" s="51">
        <v>66755000</v>
      </c>
      <c r="O72" s="36">
        <f t="shared" si="17"/>
        <v>-66755000</v>
      </c>
    </row>
    <row r="73" spans="1:15" ht="24.75" customHeight="1" x14ac:dyDescent="0.25">
      <c r="A73" s="174"/>
      <c r="B73" s="181" t="s">
        <v>252</v>
      </c>
      <c r="C73" s="188" t="str">
        <f>[2]Sheet1!$I$61</f>
        <v>Koordinasi perencanaan penanganan perumahan</v>
      </c>
      <c r="D73" s="151">
        <v>221630000</v>
      </c>
      <c r="E73" s="157">
        <f>D73/D71*100</f>
        <v>30.101320149942957</v>
      </c>
      <c r="F73" s="157">
        <v>100</v>
      </c>
      <c r="G73" s="157">
        <f t="shared" si="5"/>
        <v>7.7175923837025682</v>
      </c>
      <c r="H73" s="157">
        <f t="shared" si="4"/>
        <v>2.3230971912859242</v>
      </c>
      <c r="I73" s="186">
        <f>11879500+5225000</f>
        <v>17104500</v>
      </c>
      <c r="J73" s="73">
        <f>I73/D73*100</f>
        <v>7.7175923837025682</v>
      </c>
      <c r="K73" s="166">
        <f>D73-I73</f>
        <v>204525500</v>
      </c>
      <c r="L73" s="73">
        <f>K73/D73*100</f>
        <v>92.282407616297434</v>
      </c>
      <c r="N73" s="51">
        <v>153047000</v>
      </c>
      <c r="O73" s="36">
        <f t="shared" si="17"/>
        <v>-135942500</v>
      </c>
    </row>
    <row r="74" spans="1:15" ht="30" x14ac:dyDescent="0.25">
      <c r="A74" s="172"/>
      <c r="B74" s="181" t="s">
        <v>253</v>
      </c>
      <c r="C74" s="189" t="str">
        <f>[2]Sheet1!$I$62</f>
        <v>Koordinasi perencanaan air minum, drainase dan sanitasi perkotaan</v>
      </c>
      <c r="D74" s="151">
        <v>217810000</v>
      </c>
      <c r="E74" s="157">
        <f>D74/D71*100</f>
        <v>29.58249578964524</v>
      </c>
      <c r="F74" s="157">
        <v>100</v>
      </c>
      <c r="G74" s="157">
        <f t="shared" si="5"/>
        <v>1.551811211606446</v>
      </c>
      <c r="H74" s="157">
        <f t="shared" si="4"/>
        <v>0.45906448633671965</v>
      </c>
      <c r="I74" s="186">
        <v>3380000</v>
      </c>
      <c r="J74" s="73">
        <f>I74/D74*100</f>
        <v>1.551811211606446</v>
      </c>
      <c r="K74" s="166">
        <f>D74-I74</f>
        <v>214430000</v>
      </c>
      <c r="L74" s="73">
        <f>K74/D74*100</f>
        <v>98.448188788393551</v>
      </c>
      <c r="N74" s="51">
        <v>121131500</v>
      </c>
      <c r="O74" s="36">
        <f t="shared" si="17"/>
        <v>-117751500</v>
      </c>
    </row>
    <row r="75" spans="1:15" ht="10.5" x14ac:dyDescent="0.25">
      <c r="A75" s="172"/>
      <c r="B75" s="46"/>
      <c r="C75" s="47"/>
      <c r="D75" s="151"/>
      <c r="E75" s="157"/>
      <c r="F75" s="157"/>
      <c r="G75" s="157"/>
      <c r="H75" s="157"/>
      <c r="I75" s="137"/>
      <c r="J75" s="73"/>
      <c r="K75" s="166"/>
      <c r="L75" s="73"/>
      <c r="N75" s="51"/>
      <c r="O75" s="36">
        <f t="shared" si="17"/>
        <v>0</v>
      </c>
    </row>
    <row r="76" spans="1:15" ht="39.950000000000003" x14ac:dyDescent="0.25">
      <c r="A76" s="172" t="s">
        <v>125</v>
      </c>
      <c r="B76" s="180" t="s">
        <v>254</v>
      </c>
      <c r="C76" s="27" t="str">
        <f>[2]Sheet1!$I$64</f>
        <v>Program peningkatan kapasitas kelembagaan perencanaan pembangunan daerah</v>
      </c>
      <c r="D76" s="144">
        <f>SUM(D77:D79)</f>
        <v>528220000</v>
      </c>
      <c r="E76" s="156">
        <f>D76/D14*100</f>
        <v>4.1366682538192379</v>
      </c>
      <c r="F76" s="156">
        <f>AVERAGE(F77:F79)</f>
        <v>100</v>
      </c>
      <c r="G76" s="156">
        <f>J76</f>
        <v>61.713849721706858</v>
      </c>
      <c r="H76" s="156">
        <f>G76*E76/100</f>
        <v>2.5528972296475594</v>
      </c>
      <c r="I76" s="136">
        <f>SUM(I77:I79)</f>
        <v>325984897</v>
      </c>
      <c r="J76" s="163">
        <f>I76/D76*100</f>
        <v>61.713849721706858</v>
      </c>
      <c r="K76" s="165">
        <f>D76-I76</f>
        <v>202235103</v>
      </c>
      <c r="L76" s="73">
        <f>K76/D76*100</f>
        <v>38.286150278293135</v>
      </c>
      <c r="N76" s="31">
        <v>331627654</v>
      </c>
      <c r="O76" s="36">
        <f t="shared" si="17"/>
        <v>-5642757</v>
      </c>
    </row>
    <row r="77" spans="1:15" ht="26.25" customHeight="1" x14ac:dyDescent="0.25">
      <c r="A77" s="172"/>
      <c r="B77" s="181" t="s">
        <v>255</v>
      </c>
      <c r="C77" s="189" t="str">
        <f>[2]Sheet1!$I$65</f>
        <v>Peningkatan kemampuan teknis aparat perencana</v>
      </c>
      <c r="D77" s="151">
        <v>131360000</v>
      </c>
      <c r="E77" s="157">
        <f>D77/D76*100</f>
        <v>24.868426034606792</v>
      </c>
      <c r="F77" s="157">
        <v>100</v>
      </c>
      <c r="G77" s="157">
        <f>J77</f>
        <v>45.435047198538371</v>
      </c>
      <c r="H77" s="157">
        <f>G77*E77/100</f>
        <v>11.2989811063572</v>
      </c>
      <c r="I77" s="186">
        <v>59683478</v>
      </c>
      <c r="J77" s="73">
        <f>I77/D77*100</f>
        <v>45.435047198538371</v>
      </c>
      <c r="K77" s="166">
        <f>D77-I77</f>
        <v>71676522</v>
      </c>
      <c r="L77" s="73">
        <f>K77/D77*100</f>
        <v>54.564952801461629</v>
      </c>
      <c r="N77" s="51">
        <v>138878874</v>
      </c>
      <c r="O77" s="36">
        <f t="shared" si="17"/>
        <v>-79195396</v>
      </c>
    </row>
    <row r="78" spans="1:15" ht="20.100000000000001" x14ac:dyDescent="0.25">
      <c r="A78" s="172"/>
      <c r="B78" s="181" t="s">
        <v>256</v>
      </c>
      <c r="C78" s="189" t="s">
        <v>200</v>
      </c>
      <c r="D78" s="151">
        <v>239520000</v>
      </c>
      <c r="E78" s="157">
        <f>D78/D76*100</f>
        <v>45.344742720836017</v>
      </c>
      <c r="F78" s="157">
        <v>100</v>
      </c>
      <c r="G78" s="157">
        <f t="shared" si="5"/>
        <v>84.93796718436873</v>
      </c>
      <c r="H78" s="157">
        <f>G78*E78/100</f>
        <v>38.514902692060126</v>
      </c>
      <c r="I78" s="186">
        <f>45814000+157629419</f>
        <v>203443419</v>
      </c>
      <c r="J78" s="73">
        <f>I78/D78*100</f>
        <v>84.93796718436873</v>
      </c>
      <c r="K78" s="166">
        <f>D78-I78</f>
        <v>36076581</v>
      </c>
      <c r="L78" s="73">
        <f>K78/D78*100</f>
        <v>15.062032815631262</v>
      </c>
      <c r="N78" s="51"/>
      <c r="O78" s="36"/>
    </row>
    <row r="79" spans="1:15" ht="30" x14ac:dyDescent="0.25">
      <c r="A79" s="172"/>
      <c r="B79" s="181" t="s">
        <v>257</v>
      </c>
      <c r="C79" s="189" t="str">
        <f>[2]Sheet1!$I$67</f>
        <v>Bimbingan teknis tentang perencanan pembangunan daerah</v>
      </c>
      <c r="D79" s="151">
        <v>157340000</v>
      </c>
      <c r="E79" s="157">
        <f>D79/D76*100</f>
        <v>29.786831244557195</v>
      </c>
      <c r="F79" s="157">
        <v>100</v>
      </c>
      <c r="G79" s="157">
        <f t="shared" si="5"/>
        <v>39.950425829414009</v>
      </c>
      <c r="H79" s="157">
        <f t="shared" si="4"/>
        <v>11.899965923289539</v>
      </c>
      <c r="I79" s="186">
        <f>17044000+45814000</f>
        <v>62858000</v>
      </c>
      <c r="J79" s="73">
        <f>I79/D79*100</f>
        <v>39.950425829414009</v>
      </c>
      <c r="K79" s="166">
        <f>D79-I79</f>
        <v>94482000</v>
      </c>
      <c r="L79" s="73">
        <f>K79/D79*100</f>
        <v>60.049574170585998</v>
      </c>
      <c r="N79" s="51">
        <v>148680000</v>
      </c>
      <c r="O79" s="36">
        <f t="shared" si="17"/>
        <v>-85822000</v>
      </c>
    </row>
    <row r="80" spans="1:15" ht="10.5" x14ac:dyDescent="0.25">
      <c r="A80" s="172"/>
      <c r="B80" s="46"/>
      <c r="C80" s="74"/>
      <c r="D80" s="151"/>
      <c r="E80" s="157"/>
      <c r="F80" s="157"/>
      <c r="G80" s="157"/>
      <c r="H80" s="157"/>
      <c r="I80" s="137"/>
      <c r="J80" s="73"/>
      <c r="K80" s="166"/>
      <c r="L80" s="73"/>
      <c r="N80" s="51"/>
      <c r="O80" s="36">
        <f t="shared" si="17"/>
        <v>0</v>
      </c>
    </row>
    <row r="81" spans="1:15" ht="20.100000000000001" x14ac:dyDescent="0.25">
      <c r="A81" s="172" t="s">
        <v>141</v>
      </c>
      <c r="B81" s="180" t="s">
        <v>258</v>
      </c>
      <c r="C81" s="27" t="str">
        <f>[2]Sheet1!$I$69</f>
        <v>Program perencanaan pembangunan daerah</v>
      </c>
      <c r="D81" s="144">
        <f>SUM(D82:D92)</f>
        <v>2874220000</v>
      </c>
      <c r="E81" s="156">
        <f>D81/D14*100</f>
        <v>22.508982296187821</v>
      </c>
      <c r="F81" s="156">
        <f>AVERAGE(F82:F90)</f>
        <v>100</v>
      </c>
      <c r="G81" s="156">
        <f>J81</f>
        <v>24.946566511958025</v>
      </c>
      <c r="H81" s="156">
        <f>G81*E81/100</f>
        <v>5.6152182396833519</v>
      </c>
      <c r="I81" s="136">
        <f>SUM(I82:I92)</f>
        <v>717019204</v>
      </c>
      <c r="J81" s="163">
        <f t="shared" ref="J81:J92" si="18">I81/D81*100</f>
        <v>24.946566511958025</v>
      </c>
      <c r="K81" s="165">
        <f t="shared" ref="K81:K92" si="19">D81-I81</f>
        <v>2157200796</v>
      </c>
      <c r="L81" s="73">
        <f t="shared" ref="L81:L92" si="20">K81/D81*100</f>
        <v>75.053433488041975</v>
      </c>
      <c r="N81" s="31">
        <v>2806063016</v>
      </c>
      <c r="O81" s="36">
        <f t="shared" si="17"/>
        <v>-2089043812</v>
      </c>
    </row>
    <row r="82" spans="1:15" ht="39.950000000000003" x14ac:dyDescent="0.25">
      <c r="A82" s="172"/>
      <c r="B82" s="181" t="s">
        <v>259</v>
      </c>
      <c r="C82" s="189" t="str">
        <f>[2]Sheet1!$I$70</f>
        <v>Pengembangan partisipasi masyarakat dalam perumusan program dan kebijakan layanan publik</v>
      </c>
      <c r="D82" s="151">
        <v>200440000</v>
      </c>
      <c r="E82" s="157">
        <f>D82/D81*100</f>
        <v>6.9737180869940367</v>
      </c>
      <c r="F82" s="157">
        <v>100</v>
      </c>
      <c r="G82" s="157">
        <f>J82</f>
        <v>2.0065855118738778</v>
      </c>
      <c r="H82" s="157">
        <f>G82*E82/100</f>
        <v>0.13993361677255048</v>
      </c>
      <c r="I82" s="186">
        <v>4022000</v>
      </c>
      <c r="J82" s="73">
        <f t="shared" si="18"/>
        <v>2.0065855118738778</v>
      </c>
      <c r="K82" s="166">
        <f t="shared" si="19"/>
        <v>196418000</v>
      </c>
      <c r="L82" s="73">
        <f t="shared" si="20"/>
        <v>97.99341448812612</v>
      </c>
      <c r="N82" s="75">
        <v>160465000</v>
      </c>
      <c r="O82" s="36">
        <f t="shared" si="17"/>
        <v>-156443000</v>
      </c>
    </row>
    <row r="83" spans="1:15" ht="10.5" x14ac:dyDescent="0.25">
      <c r="A83" s="172"/>
      <c r="B83" s="181" t="s">
        <v>260</v>
      </c>
      <c r="C83" s="189" t="s">
        <v>129</v>
      </c>
      <c r="D83" s="151">
        <v>372990000</v>
      </c>
      <c r="E83" s="157">
        <f>D83/D81*100</f>
        <v>12.977085957233614</v>
      </c>
      <c r="F83" s="157">
        <v>100</v>
      </c>
      <c r="G83" s="157">
        <f t="shared" si="5"/>
        <v>25.126678999436979</v>
      </c>
      <c r="H83" s="157">
        <f t="shared" si="4"/>
        <v>3.2607107319551041</v>
      </c>
      <c r="I83" s="137">
        <v>93720000</v>
      </c>
      <c r="J83" s="73">
        <f t="shared" si="18"/>
        <v>25.126678999436979</v>
      </c>
      <c r="K83" s="166">
        <f t="shared" si="19"/>
        <v>279270000</v>
      </c>
      <c r="L83" s="73">
        <f t="shared" si="20"/>
        <v>74.873321000563024</v>
      </c>
      <c r="N83" s="75"/>
      <c r="O83" s="36"/>
    </row>
    <row r="84" spans="1:15" ht="10.5" x14ac:dyDescent="0.25">
      <c r="A84" s="172"/>
      <c r="B84" s="181" t="s">
        <v>261</v>
      </c>
      <c r="C84" s="189" t="str">
        <f>[2]Sheet1!$I$73</f>
        <v>Penyusunan rancangan RKPD</v>
      </c>
      <c r="D84" s="151">
        <v>420170000</v>
      </c>
      <c r="E84" s="157">
        <f>D84/D81*100</f>
        <v>14.618574778548615</v>
      </c>
      <c r="F84" s="157">
        <v>100</v>
      </c>
      <c r="G84" s="157">
        <f t="shared" si="5"/>
        <v>16.450484327772092</v>
      </c>
      <c r="H84" s="157">
        <f t="shared" si="4"/>
        <v>2.4048263528887834</v>
      </c>
      <c r="I84" s="137">
        <f>47450000+21670000</f>
        <v>69120000</v>
      </c>
      <c r="J84" s="73">
        <f t="shared" si="18"/>
        <v>16.450484327772092</v>
      </c>
      <c r="K84" s="166">
        <f t="shared" si="19"/>
        <v>351050000</v>
      </c>
      <c r="L84" s="73">
        <f t="shared" si="20"/>
        <v>83.549515672227898</v>
      </c>
      <c r="N84" s="51">
        <v>779776166</v>
      </c>
      <c r="O84" s="36">
        <f t="shared" ref="O84:O90" si="21">I84-N84</f>
        <v>-710656166</v>
      </c>
    </row>
    <row r="85" spans="1:15" ht="20.100000000000001" x14ac:dyDescent="0.25">
      <c r="A85" s="172"/>
      <c r="B85" s="181" t="s">
        <v>262</v>
      </c>
      <c r="C85" s="189" t="str">
        <f>[2]Sheet1!$I$74</f>
        <v>Penyelenggaraan musrenbang RKPD</v>
      </c>
      <c r="D85" s="151">
        <v>281300000</v>
      </c>
      <c r="E85" s="157">
        <f>D85/D81*100</f>
        <v>9.7870030825754455</v>
      </c>
      <c r="F85" s="157">
        <v>100</v>
      </c>
      <c r="G85" s="157">
        <f t="shared" si="5"/>
        <v>88.606377532883045</v>
      </c>
      <c r="H85" s="157">
        <f t="shared" ref="H85:H114" si="22">G85*E85/100</f>
        <v>8.6719089005017</v>
      </c>
      <c r="I85" s="186">
        <v>249249740</v>
      </c>
      <c r="J85" s="73">
        <f t="shared" si="18"/>
        <v>88.606377532883045</v>
      </c>
      <c r="K85" s="166">
        <f t="shared" si="19"/>
        <v>32050260</v>
      </c>
      <c r="L85" s="73">
        <f t="shared" si="20"/>
        <v>11.393622467116957</v>
      </c>
      <c r="N85" s="51">
        <v>335029050</v>
      </c>
      <c r="O85" s="36">
        <f t="shared" si="21"/>
        <v>-85779310</v>
      </c>
    </row>
    <row r="86" spans="1:15" ht="30" x14ac:dyDescent="0.25">
      <c r="A86" s="172"/>
      <c r="B86" s="181" t="s">
        <v>263</v>
      </c>
      <c r="C86" s="189" t="str">
        <f>[2]Sheet1!$I$75</f>
        <v>Koordinasi penyusunan laporan Keterangan Pertanggung Jawaban (LKPJ)</v>
      </c>
      <c r="D86" s="151">
        <v>403300000</v>
      </c>
      <c r="E86" s="157">
        <f>D86/D81*100</f>
        <v>14.031632929977524</v>
      </c>
      <c r="F86" s="157">
        <v>100</v>
      </c>
      <c r="G86" s="157">
        <f t="shared" ref="G86:G114" si="23">J86</f>
        <v>59.845467641953874</v>
      </c>
      <c r="H86" s="157">
        <f t="shared" si="22"/>
        <v>8.3972963447474438</v>
      </c>
      <c r="I86" s="186">
        <f>86656771+154700000</f>
        <v>241356771</v>
      </c>
      <c r="J86" s="73">
        <f t="shared" si="18"/>
        <v>59.845467641953874</v>
      </c>
      <c r="K86" s="166">
        <f t="shared" si="19"/>
        <v>161943229</v>
      </c>
      <c r="L86" s="73">
        <f t="shared" si="20"/>
        <v>40.154532358046119</v>
      </c>
      <c r="N86" s="51">
        <v>267919800</v>
      </c>
      <c r="O86" s="36">
        <f t="shared" si="21"/>
        <v>-26563029</v>
      </c>
    </row>
    <row r="87" spans="1:15" ht="20.100000000000001" x14ac:dyDescent="0.25">
      <c r="A87" s="172"/>
      <c r="B87" s="181" t="s">
        <v>264</v>
      </c>
      <c r="C87" s="189" t="str">
        <f>[2]Sheet1!$I$76</f>
        <v>Monitoring, evaluasi dan pelaporan</v>
      </c>
      <c r="D87" s="151">
        <v>216100000</v>
      </c>
      <c r="E87" s="157">
        <f>D87/D81*100</f>
        <v>7.5185615575704023</v>
      </c>
      <c r="F87" s="157">
        <v>100</v>
      </c>
      <c r="G87" s="157">
        <f t="shared" si="23"/>
        <v>11.730680240629338</v>
      </c>
      <c r="H87" s="157">
        <f t="shared" si="22"/>
        <v>0.88197841501346463</v>
      </c>
      <c r="I87" s="186">
        <v>25350000</v>
      </c>
      <c r="J87" s="73">
        <f t="shared" si="18"/>
        <v>11.730680240629338</v>
      </c>
      <c r="K87" s="166">
        <f t="shared" si="19"/>
        <v>190750000</v>
      </c>
      <c r="L87" s="73">
        <f t="shared" si="20"/>
        <v>88.26931975937066</v>
      </c>
      <c r="N87" s="51">
        <v>226558000</v>
      </c>
      <c r="O87" s="36">
        <f t="shared" si="21"/>
        <v>-201208000</v>
      </c>
    </row>
    <row r="88" spans="1:15" ht="10.5" x14ac:dyDescent="0.25">
      <c r="A88" s="172"/>
      <c r="B88" s="181" t="s">
        <v>265</v>
      </c>
      <c r="C88" s="189" t="str">
        <f>[2]Sheet1!$I$77</f>
        <v>Penyusunan KU APBD Perubahan</v>
      </c>
      <c r="D88" s="151">
        <v>198320000</v>
      </c>
      <c r="E88" s="157">
        <f>D88/D81*100</f>
        <v>6.8999589453834425</v>
      </c>
      <c r="F88" s="157">
        <v>100</v>
      </c>
      <c r="G88" s="157">
        <f t="shared" si="23"/>
        <v>0</v>
      </c>
      <c r="H88" s="157">
        <f t="shared" si="22"/>
        <v>0</v>
      </c>
      <c r="I88" s="137">
        <v>0</v>
      </c>
      <c r="J88" s="73">
        <f t="shared" si="18"/>
        <v>0</v>
      </c>
      <c r="K88" s="166">
        <f t="shared" si="19"/>
        <v>198320000</v>
      </c>
      <c r="L88" s="73">
        <f t="shared" si="20"/>
        <v>100</v>
      </c>
      <c r="N88" s="51">
        <v>246600000</v>
      </c>
      <c r="O88" s="36">
        <f t="shared" si="21"/>
        <v>-246600000</v>
      </c>
    </row>
    <row r="89" spans="1:15" ht="10.5" x14ac:dyDescent="0.25">
      <c r="A89" s="172"/>
      <c r="B89" s="181" t="s">
        <v>266</v>
      </c>
      <c r="C89" s="189" t="str">
        <f>[2]Sheet1!$I$78</f>
        <v>Penyusunan PPAS Perubahan</v>
      </c>
      <c r="D89" s="151">
        <v>218320000</v>
      </c>
      <c r="E89" s="157">
        <f>D89/D81*100</f>
        <v>7.5957999039739477</v>
      </c>
      <c r="F89" s="157">
        <v>100</v>
      </c>
      <c r="G89" s="157">
        <f t="shared" si="23"/>
        <v>0</v>
      </c>
      <c r="H89" s="157">
        <f t="shared" si="22"/>
        <v>0</v>
      </c>
      <c r="I89" s="137">
        <v>0</v>
      </c>
      <c r="J89" s="73">
        <f t="shared" si="18"/>
        <v>0</v>
      </c>
      <c r="K89" s="166">
        <f t="shared" si="19"/>
        <v>218320000</v>
      </c>
      <c r="L89" s="73">
        <f t="shared" si="20"/>
        <v>100</v>
      </c>
      <c r="N89" s="51">
        <v>248120000</v>
      </c>
      <c r="O89" s="36">
        <f t="shared" si="21"/>
        <v>-248120000</v>
      </c>
    </row>
    <row r="90" spans="1:15" ht="30" x14ac:dyDescent="0.25">
      <c r="A90" s="172"/>
      <c r="B90" s="181" t="s">
        <v>267</v>
      </c>
      <c r="C90" s="189" t="str">
        <f>[2]Sheet1!$I$80</f>
        <v>Pengumpulan, Updating dan Analisis Sistem Informasi Pembangunan Daerah</v>
      </c>
      <c r="D90" s="151">
        <v>146640000</v>
      </c>
      <c r="E90" s="157">
        <f>D90/D81*100</f>
        <v>5.1019059083855796</v>
      </c>
      <c r="F90" s="157">
        <v>100</v>
      </c>
      <c r="G90" s="157">
        <f t="shared" si="23"/>
        <v>23.322894844517187</v>
      </c>
      <c r="H90" s="157">
        <f t="shared" si="22"/>
        <v>1.189912150078978</v>
      </c>
      <c r="I90" s="186">
        <f>23850000+10350693</f>
        <v>34200693</v>
      </c>
      <c r="J90" s="73">
        <f t="shared" si="18"/>
        <v>23.322894844517187</v>
      </c>
      <c r="K90" s="166">
        <f t="shared" si="19"/>
        <v>112439307</v>
      </c>
      <c r="L90" s="73">
        <f t="shared" si="20"/>
        <v>76.67710515548282</v>
      </c>
      <c r="N90" s="51">
        <v>129110000</v>
      </c>
      <c r="O90" s="36">
        <f t="shared" si="21"/>
        <v>-94909307</v>
      </c>
    </row>
    <row r="91" spans="1:15" ht="10.5" x14ac:dyDescent="0.25">
      <c r="A91" s="172"/>
      <c r="B91" s="181" t="s">
        <v>268</v>
      </c>
      <c r="C91" s="188" t="s">
        <v>138</v>
      </c>
      <c r="D91" s="151">
        <v>198320000</v>
      </c>
      <c r="E91" s="157">
        <f>D91/D81*100</f>
        <v>6.8999589453834425</v>
      </c>
      <c r="F91" s="157">
        <v>100</v>
      </c>
      <c r="G91" s="157">
        <f t="shared" si="23"/>
        <v>0</v>
      </c>
      <c r="H91" s="157">
        <f t="shared" si="22"/>
        <v>0</v>
      </c>
      <c r="I91" s="137">
        <v>0</v>
      </c>
      <c r="J91" s="73">
        <f t="shared" si="18"/>
        <v>0</v>
      </c>
      <c r="K91" s="166">
        <f t="shared" si="19"/>
        <v>198320000</v>
      </c>
      <c r="L91" s="73">
        <f t="shared" si="20"/>
        <v>100</v>
      </c>
      <c r="N91" s="51"/>
      <c r="O91" s="36"/>
    </row>
    <row r="92" spans="1:15" ht="10.5" x14ac:dyDescent="0.25">
      <c r="A92" s="172"/>
      <c r="B92" s="181" t="s">
        <v>269</v>
      </c>
      <c r="C92" s="188" t="s">
        <v>140</v>
      </c>
      <c r="D92" s="151">
        <v>218320000</v>
      </c>
      <c r="E92" s="157">
        <f>D92/D81*100</f>
        <v>7.5957999039739477</v>
      </c>
      <c r="F92" s="157">
        <v>100</v>
      </c>
      <c r="G92" s="157">
        <f t="shared" si="23"/>
        <v>0</v>
      </c>
      <c r="H92" s="157">
        <f t="shared" si="22"/>
        <v>0</v>
      </c>
      <c r="I92" s="137">
        <v>0</v>
      </c>
      <c r="J92" s="73">
        <f t="shared" si="18"/>
        <v>0</v>
      </c>
      <c r="K92" s="166">
        <f t="shared" si="19"/>
        <v>218320000</v>
      </c>
      <c r="L92" s="73">
        <f t="shared" si="20"/>
        <v>100</v>
      </c>
      <c r="N92" s="51"/>
      <c r="O92" s="36"/>
    </row>
    <row r="93" spans="1:15" x14ac:dyDescent="0.2">
      <c r="A93" s="172"/>
      <c r="B93" s="46"/>
      <c r="C93" s="47"/>
      <c r="D93" s="151"/>
      <c r="E93" s="157"/>
      <c r="F93" s="157"/>
      <c r="G93" s="157"/>
      <c r="H93" s="157"/>
      <c r="I93" s="137"/>
      <c r="J93" s="73"/>
      <c r="K93" s="166"/>
      <c r="L93" s="73"/>
      <c r="N93" s="51"/>
      <c r="O93" s="36"/>
    </row>
    <row r="94" spans="1:15" ht="21" x14ac:dyDescent="0.2">
      <c r="A94" s="172" t="s">
        <v>153</v>
      </c>
      <c r="B94" s="180" t="s">
        <v>270</v>
      </c>
      <c r="C94" s="27" t="str">
        <f>[2]Sheet1!$I$81</f>
        <v>Program perencanaan pembangunan ekonomi</v>
      </c>
      <c r="D94" s="144">
        <f>SUM(D95:D100)</f>
        <v>941600000</v>
      </c>
      <c r="E94" s="156">
        <f>D94/D14*100</f>
        <v>7.3739858918560346</v>
      </c>
      <c r="F94" s="156">
        <f>AVERAGE(F95:F100)</f>
        <v>100</v>
      </c>
      <c r="G94" s="156">
        <f t="shared" si="23"/>
        <v>3.6751274426508074</v>
      </c>
      <c r="H94" s="156">
        <f t="shared" si="22"/>
        <v>0.27100337912880001</v>
      </c>
      <c r="I94" s="136">
        <f>SUM(I95:I100)</f>
        <v>34605000</v>
      </c>
      <c r="J94" s="163">
        <f>I94/D94*100</f>
        <v>3.6751274426508074</v>
      </c>
      <c r="K94" s="165">
        <f t="shared" ref="K94:K100" si="24">D94-I94</f>
        <v>906995000</v>
      </c>
      <c r="L94" s="73">
        <f t="shared" ref="L94:L100" si="25">K94/D94*100</f>
        <v>96.324872557349195</v>
      </c>
      <c r="N94" s="31">
        <v>797617530</v>
      </c>
      <c r="O94" s="36">
        <f>I94-N94</f>
        <v>-763012530</v>
      </c>
    </row>
    <row r="95" spans="1:15" ht="21" x14ac:dyDescent="0.2">
      <c r="A95" s="172"/>
      <c r="B95" s="179" t="s">
        <v>272</v>
      </c>
      <c r="C95" s="189" t="str">
        <f>[2]Sheet1!$I$82</f>
        <v>Penyusunan Indikator ekonomi daerah</v>
      </c>
      <c r="D95" s="151">
        <v>146640000</v>
      </c>
      <c r="E95" s="157">
        <f>D95/D94*100</f>
        <v>15.573491928632116</v>
      </c>
      <c r="F95" s="157">
        <v>100</v>
      </c>
      <c r="G95" s="157">
        <f t="shared" si="23"/>
        <v>0</v>
      </c>
      <c r="H95" s="157">
        <f t="shared" si="22"/>
        <v>0</v>
      </c>
      <c r="I95" s="137">
        <v>0</v>
      </c>
      <c r="J95" s="73">
        <f t="shared" ref="J95:J100" si="26">I95/D95*100</f>
        <v>0</v>
      </c>
      <c r="K95" s="166">
        <f t="shared" si="24"/>
        <v>146640000</v>
      </c>
      <c r="L95" s="73">
        <f t="shared" si="25"/>
        <v>100</v>
      </c>
      <c r="N95" s="51">
        <v>186005678</v>
      </c>
      <c r="O95" s="36">
        <f>I95-N95</f>
        <v>-186005678</v>
      </c>
    </row>
    <row r="96" spans="1:15" ht="31.5" x14ac:dyDescent="0.2">
      <c r="A96" s="172"/>
      <c r="B96" s="183" t="s">
        <v>273</v>
      </c>
      <c r="C96" s="189" t="s">
        <v>290</v>
      </c>
      <c r="D96" s="151">
        <v>146640000</v>
      </c>
      <c r="E96" s="157">
        <f>D96/D94*100</f>
        <v>15.573491928632116</v>
      </c>
      <c r="F96" s="157">
        <v>100</v>
      </c>
      <c r="G96" s="157">
        <f t="shared" si="23"/>
        <v>2.9834969994544465</v>
      </c>
      <c r="H96" s="157">
        <f t="shared" si="22"/>
        <v>0.46463466440101958</v>
      </c>
      <c r="I96" s="186">
        <v>4375000</v>
      </c>
      <c r="J96" s="73">
        <f t="shared" si="26"/>
        <v>2.9834969994544465</v>
      </c>
      <c r="K96" s="166">
        <f t="shared" si="24"/>
        <v>142265000</v>
      </c>
      <c r="L96" s="73">
        <f t="shared" si="25"/>
        <v>97.016503000545555</v>
      </c>
      <c r="N96" s="51"/>
      <c r="O96" s="36"/>
    </row>
    <row r="97" spans="1:15" ht="21" x14ac:dyDescent="0.2">
      <c r="A97" s="172"/>
      <c r="B97" s="183" t="s">
        <v>274</v>
      </c>
      <c r="C97" s="189" t="str">
        <f>[2]Sheet1!$I$84</f>
        <v>Koordinasi perencanaan pembangunan bidang ekonomi</v>
      </c>
      <c r="D97" s="151">
        <v>111160000</v>
      </c>
      <c r="E97" s="157">
        <f>D97/D94*100</f>
        <v>11.805437553101104</v>
      </c>
      <c r="F97" s="157">
        <v>100</v>
      </c>
      <c r="G97" s="157">
        <f t="shared" si="23"/>
        <v>20.897804965815041</v>
      </c>
      <c r="H97" s="157">
        <f t="shared" si="22"/>
        <v>2.4670773152081562</v>
      </c>
      <c r="I97" s="137">
        <v>23230000</v>
      </c>
      <c r="J97" s="73">
        <f t="shared" si="26"/>
        <v>20.897804965815041</v>
      </c>
      <c r="K97" s="166">
        <f t="shared" si="24"/>
        <v>87930000</v>
      </c>
      <c r="L97" s="73">
        <f t="shared" si="25"/>
        <v>79.102195034184959</v>
      </c>
      <c r="N97" s="51">
        <v>205639452</v>
      </c>
      <c r="O97" s="36">
        <f>I97-N97</f>
        <v>-182409452</v>
      </c>
    </row>
    <row r="98" spans="1:15" ht="21" x14ac:dyDescent="0.2">
      <c r="A98" s="172"/>
      <c r="B98" s="183" t="s">
        <v>275</v>
      </c>
      <c r="C98" s="189" t="s">
        <v>148</v>
      </c>
      <c r="D98" s="151">
        <v>145260000</v>
      </c>
      <c r="E98" s="157">
        <f>D98/D94*100</f>
        <v>15.426932880203909</v>
      </c>
      <c r="F98" s="157">
        <v>100</v>
      </c>
      <c r="G98" s="157">
        <f t="shared" si="23"/>
        <v>0</v>
      </c>
      <c r="H98" s="157">
        <f t="shared" si="22"/>
        <v>0</v>
      </c>
      <c r="I98" s="137">
        <v>0</v>
      </c>
      <c r="J98" s="73">
        <f t="shared" si="26"/>
        <v>0</v>
      </c>
      <c r="K98" s="166">
        <f t="shared" si="24"/>
        <v>145260000</v>
      </c>
      <c r="L98" s="73">
        <f t="shared" si="25"/>
        <v>100</v>
      </c>
      <c r="N98" s="51">
        <v>48696300</v>
      </c>
      <c r="O98" s="36">
        <f>I98-N98</f>
        <v>-48696300</v>
      </c>
    </row>
    <row r="99" spans="1:15" x14ac:dyDescent="0.2">
      <c r="A99" s="172"/>
      <c r="B99" s="183" t="s">
        <v>276</v>
      </c>
      <c r="C99" s="189" t="s">
        <v>150</v>
      </c>
      <c r="D99" s="151">
        <v>146640000</v>
      </c>
      <c r="E99" s="157">
        <f>D99/D94*100</f>
        <v>15.573491928632116</v>
      </c>
      <c r="F99" s="157">
        <v>100</v>
      </c>
      <c r="G99" s="157">
        <f t="shared" si="23"/>
        <v>0</v>
      </c>
      <c r="H99" s="157">
        <f t="shared" si="22"/>
        <v>0</v>
      </c>
      <c r="I99" s="137">
        <v>0</v>
      </c>
      <c r="J99" s="73">
        <f t="shared" si="26"/>
        <v>0</v>
      </c>
      <c r="K99" s="166">
        <f t="shared" si="24"/>
        <v>146640000</v>
      </c>
      <c r="L99" s="73">
        <f t="shared" si="25"/>
        <v>100</v>
      </c>
      <c r="N99" s="51"/>
      <c r="O99" s="36"/>
    </row>
    <row r="100" spans="1:15" s="80" customFormat="1" ht="21" x14ac:dyDescent="0.2">
      <c r="A100" s="175"/>
      <c r="B100" s="183" t="s">
        <v>277</v>
      </c>
      <c r="C100" s="189" t="s">
        <v>152</v>
      </c>
      <c r="D100" s="151">
        <v>245260000</v>
      </c>
      <c r="E100" s="157">
        <f>D100/D94*100</f>
        <v>26.047153780798642</v>
      </c>
      <c r="F100" s="157">
        <v>100</v>
      </c>
      <c r="G100" s="157">
        <f t="shared" si="23"/>
        <v>2.8541140014678299</v>
      </c>
      <c r="H100" s="157">
        <f t="shared" si="22"/>
        <v>0.74341546304163131</v>
      </c>
      <c r="I100" s="186">
        <v>7000000</v>
      </c>
      <c r="J100" s="73">
        <f t="shared" si="26"/>
        <v>2.8541140014678299</v>
      </c>
      <c r="K100" s="166">
        <f t="shared" si="24"/>
        <v>238260000</v>
      </c>
      <c r="L100" s="73">
        <f t="shared" si="25"/>
        <v>97.145885998532165</v>
      </c>
      <c r="N100" s="81">
        <v>234465000</v>
      </c>
      <c r="O100" s="82">
        <f>I100-N100</f>
        <v>-227465000</v>
      </c>
    </row>
    <row r="101" spans="1:15" x14ac:dyDescent="0.2">
      <c r="A101" s="172"/>
      <c r="B101" s="46"/>
      <c r="C101" s="61"/>
      <c r="D101" s="151"/>
      <c r="E101" s="157"/>
      <c r="F101" s="157"/>
      <c r="G101" s="157"/>
      <c r="H101" s="157"/>
      <c r="I101" s="137"/>
      <c r="J101" s="73"/>
      <c r="K101" s="166"/>
      <c r="L101" s="73"/>
      <c r="N101" s="51"/>
      <c r="O101" s="36">
        <f>I101-N101</f>
        <v>0</v>
      </c>
    </row>
    <row r="102" spans="1:15" ht="21" x14ac:dyDescent="0.2">
      <c r="A102" s="172" t="s">
        <v>163</v>
      </c>
      <c r="B102" s="180" t="s">
        <v>271</v>
      </c>
      <c r="C102" s="27" t="str">
        <f>[2]Sheet1!$I$89</f>
        <v>Program perencanaan sosial dan budaya</v>
      </c>
      <c r="D102" s="144">
        <f>SUM(D103:D107)</f>
        <v>768250000</v>
      </c>
      <c r="E102" s="156">
        <f>D102/D14*100</f>
        <v>6.01642381204163</v>
      </c>
      <c r="F102" s="156">
        <f>AVERAGE(F103:F106)</f>
        <v>100</v>
      </c>
      <c r="G102" s="156">
        <f>J102</f>
        <v>20.773966807679791</v>
      </c>
      <c r="H102" s="156">
        <f>G102*E102/100</f>
        <v>1.2498498857228713</v>
      </c>
      <c r="I102" s="136">
        <f>SUM(I103:I107)</f>
        <v>159596000</v>
      </c>
      <c r="J102" s="163">
        <f t="shared" ref="J102:J107" si="27">I102/D102*100</f>
        <v>20.773966807679791</v>
      </c>
      <c r="K102" s="165">
        <f t="shared" ref="K102:K107" si="28">D102-I102</f>
        <v>608654000</v>
      </c>
      <c r="L102" s="73">
        <f t="shared" ref="L102:L107" si="29">K102/D102*100</f>
        <v>79.226033192320216</v>
      </c>
      <c r="N102" s="31">
        <v>417742000</v>
      </c>
      <c r="O102" s="36">
        <f>I102-N102</f>
        <v>-258146000</v>
      </c>
    </row>
    <row r="103" spans="1:15" ht="31.5" x14ac:dyDescent="0.2">
      <c r="A103" s="172"/>
      <c r="B103" s="183" t="s">
        <v>278</v>
      </c>
      <c r="C103" s="189" t="str">
        <f>[2]Sheet1!$I$90</f>
        <v>Koordinasi perencanaan pembangunan bidang sosial dan budaya</v>
      </c>
      <c r="D103" s="151">
        <v>201880000</v>
      </c>
      <c r="E103" s="157">
        <f>D103/D102*100</f>
        <v>26.277904328018227</v>
      </c>
      <c r="F103" s="157">
        <v>100</v>
      </c>
      <c r="G103" s="157">
        <f t="shared" si="23"/>
        <v>36.605904497721419</v>
      </c>
      <c r="H103" s="157">
        <f t="shared" si="22"/>
        <v>9.619264562316955</v>
      </c>
      <c r="I103" s="186">
        <v>73900000</v>
      </c>
      <c r="J103" s="73">
        <f t="shared" si="27"/>
        <v>36.605904497721419</v>
      </c>
      <c r="K103" s="166">
        <f t="shared" si="28"/>
        <v>127980000</v>
      </c>
      <c r="L103" s="73">
        <f t="shared" si="29"/>
        <v>63.394095502278581</v>
      </c>
      <c r="N103" s="51">
        <v>325940000</v>
      </c>
      <c r="O103" s="36">
        <f>I103-N103</f>
        <v>-252040000</v>
      </c>
    </row>
    <row r="104" spans="1:15" ht="15.75" customHeight="1" x14ac:dyDescent="0.2">
      <c r="A104" s="172"/>
      <c r="B104" s="183" t="s">
        <v>279</v>
      </c>
      <c r="C104" s="189" t="str">
        <f>[2]Sheet1!$I$91</f>
        <v>Pelaksanaan Program KHPPIA</v>
      </c>
      <c r="D104" s="151">
        <v>107880000</v>
      </c>
      <c r="E104" s="157">
        <f>D104/D102*100</f>
        <v>14.042303937520339</v>
      </c>
      <c r="F104" s="157">
        <v>100</v>
      </c>
      <c r="G104" s="157">
        <f t="shared" si="23"/>
        <v>35.035224323322211</v>
      </c>
      <c r="H104" s="157">
        <f t="shared" si="22"/>
        <v>4.9197526846729582</v>
      </c>
      <c r="I104" s="137">
        <v>37796000</v>
      </c>
      <c r="J104" s="73">
        <f t="shared" si="27"/>
        <v>35.035224323322211</v>
      </c>
      <c r="K104" s="166">
        <f t="shared" si="28"/>
        <v>70084000</v>
      </c>
      <c r="L104" s="73">
        <f t="shared" si="29"/>
        <v>64.964775676677789</v>
      </c>
      <c r="N104" s="51">
        <v>53102000</v>
      </c>
      <c r="O104" s="36">
        <f>I104-N104</f>
        <v>-15306000</v>
      </c>
    </row>
    <row r="105" spans="1:15" ht="31.5" x14ac:dyDescent="0.2">
      <c r="A105" s="172"/>
      <c r="B105" s="183" t="s">
        <v>280</v>
      </c>
      <c r="C105" s="189" t="s">
        <v>158</v>
      </c>
      <c r="D105" s="151">
        <v>160960000</v>
      </c>
      <c r="E105" s="157">
        <f>D105/D102*100</f>
        <v>20.951513179303614</v>
      </c>
      <c r="F105" s="157">
        <v>100</v>
      </c>
      <c r="G105" s="157">
        <f t="shared" si="23"/>
        <v>0</v>
      </c>
      <c r="H105" s="157">
        <f t="shared" si="22"/>
        <v>0</v>
      </c>
      <c r="I105" s="137">
        <v>0</v>
      </c>
      <c r="J105" s="73">
        <f t="shared" si="27"/>
        <v>0</v>
      </c>
      <c r="K105" s="166">
        <f t="shared" si="28"/>
        <v>160960000</v>
      </c>
      <c r="L105" s="73">
        <f t="shared" si="29"/>
        <v>100</v>
      </c>
      <c r="N105" s="51"/>
      <c r="O105" s="36"/>
    </row>
    <row r="106" spans="1:15" ht="31.5" x14ac:dyDescent="0.2">
      <c r="A106" s="172"/>
      <c r="B106" s="181" t="s">
        <v>281</v>
      </c>
      <c r="C106" s="191" t="s">
        <v>160</v>
      </c>
      <c r="D106" s="151">
        <v>177940000</v>
      </c>
      <c r="E106" s="157">
        <f>D106/D102*100</f>
        <v>23.161731207289293</v>
      </c>
      <c r="F106" s="157">
        <v>100</v>
      </c>
      <c r="G106" s="157">
        <f t="shared" si="23"/>
        <v>12.22322131055412</v>
      </c>
      <c r="H106" s="157">
        <f t="shared" si="22"/>
        <v>2.8311096648226486</v>
      </c>
      <c r="I106" s="137">
        <v>21750000</v>
      </c>
      <c r="J106" s="73">
        <f t="shared" si="27"/>
        <v>12.22322131055412</v>
      </c>
      <c r="K106" s="166">
        <f t="shared" si="28"/>
        <v>156190000</v>
      </c>
      <c r="L106" s="73">
        <f t="shared" si="29"/>
        <v>87.776778689445877</v>
      </c>
      <c r="N106" s="51">
        <v>38700000</v>
      </c>
      <c r="O106" s="36">
        <f>I106-N106</f>
        <v>-16950000</v>
      </c>
    </row>
    <row r="107" spans="1:15" ht="21" x14ac:dyDescent="0.2">
      <c r="A107" s="172"/>
      <c r="B107" s="183" t="s">
        <v>282</v>
      </c>
      <c r="C107" s="192" t="s">
        <v>162</v>
      </c>
      <c r="D107" s="151">
        <v>119590000</v>
      </c>
      <c r="E107" s="157">
        <f>D107/D102*100</f>
        <v>15.566547347868532</v>
      </c>
      <c r="F107" s="157">
        <v>100</v>
      </c>
      <c r="G107" s="157">
        <f t="shared" si="23"/>
        <v>21.866376787356803</v>
      </c>
      <c r="H107" s="157">
        <f t="shared" si="22"/>
        <v>3.4038398958672307</v>
      </c>
      <c r="I107" s="137">
        <v>26150000</v>
      </c>
      <c r="J107" s="73">
        <f t="shared" si="27"/>
        <v>21.866376787356803</v>
      </c>
      <c r="K107" s="166">
        <f t="shared" si="28"/>
        <v>93440000</v>
      </c>
      <c r="L107" s="73">
        <f t="shared" si="29"/>
        <v>78.133623212643201</v>
      </c>
      <c r="N107" s="51"/>
      <c r="O107" s="36"/>
    </row>
    <row r="108" spans="1:15" x14ac:dyDescent="0.2">
      <c r="A108" s="172"/>
      <c r="B108" s="46"/>
      <c r="C108" s="133"/>
      <c r="D108" s="151"/>
      <c r="E108" s="157"/>
      <c r="F108" s="157"/>
      <c r="G108" s="157"/>
      <c r="H108" s="157"/>
      <c r="I108" s="137"/>
      <c r="J108" s="73"/>
      <c r="K108" s="166"/>
      <c r="L108" s="73"/>
      <c r="N108" s="51"/>
      <c r="O108" s="36"/>
    </row>
    <row r="109" spans="1:15" ht="42" x14ac:dyDescent="0.2">
      <c r="A109" s="172" t="s">
        <v>204</v>
      </c>
      <c r="B109" s="184" t="s">
        <v>283</v>
      </c>
      <c r="C109" s="27" t="s">
        <v>292</v>
      </c>
      <c r="D109" s="144">
        <f>SUM(D110:D115)</f>
        <v>1096404000</v>
      </c>
      <c r="E109" s="156">
        <f>D109/D14*100</f>
        <v>8.5863080159032759</v>
      </c>
      <c r="F109" s="156">
        <f>AVERAGE(F110:F114)</f>
        <v>100</v>
      </c>
      <c r="G109" s="156">
        <f>J109</f>
        <v>0.77070131083067916</v>
      </c>
      <c r="H109" s="156">
        <f>G109*E109/100</f>
        <v>6.6174788430526224E-2</v>
      </c>
      <c r="I109" s="136">
        <f>SUM(I110:I115)</f>
        <v>8450000</v>
      </c>
      <c r="J109" s="163">
        <f t="shared" ref="J109:J115" si="30">I109/D109*100</f>
        <v>0.77070131083067916</v>
      </c>
      <c r="K109" s="165">
        <f t="shared" ref="K109:K115" si="31">D109-I109</f>
        <v>1087954000</v>
      </c>
      <c r="L109" s="73">
        <f t="shared" ref="L109:L115" si="32">K109/D109*100</f>
        <v>99.229298689169326</v>
      </c>
      <c r="N109" s="31">
        <v>383477500</v>
      </c>
      <c r="O109" s="36">
        <f>I109-N109</f>
        <v>-375027500</v>
      </c>
    </row>
    <row r="110" spans="1:15" ht="31.5" x14ac:dyDescent="0.2">
      <c r="A110" s="172"/>
      <c r="B110" s="185" t="s">
        <v>284</v>
      </c>
      <c r="C110" s="189" t="s">
        <v>167</v>
      </c>
      <c r="D110" s="151">
        <v>221640000</v>
      </c>
      <c r="E110" s="157">
        <f>D110/D109*100</f>
        <v>20.215176157693694</v>
      </c>
      <c r="F110" s="157">
        <v>100</v>
      </c>
      <c r="G110" s="157">
        <f t="shared" si="23"/>
        <v>1.353546291283162</v>
      </c>
      <c r="H110" s="157">
        <f t="shared" si="22"/>
        <v>0.27362176715882103</v>
      </c>
      <c r="I110" s="186">
        <v>3000000</v>
      </c>
      <c r="J110" s="73">
        <f t="shared" si="30"/>
        <v>1.353546291283162</v>
      </c>
      <c r="K110" s="166">
        <f t="shared" si="31"/>
        <v>218640000</v>
      </c>
      <c r="L110" s="73">
        <f t="shared" si="32"/>
        <v>98.646453708716848</v>
      </c>
      <c r="N110" s="51">
        <v>168150000</v>
      </c>
      <c r="O110" s="36">
        <f>I110-N110</f>
        <v>-165150000</v>
      </c>
    </row>
    <row r="111" spans="1:15" ht="21" x14ac:dyDescent="0.2">
      <c r="A111" s="172"/>
      <c r="B111" s="185" t="s">
        <v>285</v>
      </c>
      <c r="C111" s="189" t="s">
        <v>201</v>
      </c>
      <c r="D111" s="151">
        <v>116640000</v>
      </c>
      <c r="E111" s="157">
        <f>D111/D109*100</f>
        <v>10.63841430713496</v>
      </c>
      <c r="F111" s="157">
        <v>100</v>
      </c>
      <c r="G111" s="157">
        <f t="shared" si="23"/>
        <v>2.57201646090535</v>
      </c>
      <c r="H111" s="157">
        <f t="shared" si="22"/>
        <v>0.27362176715882103</v>
      </c>
      <c r="I111" s="186">
        <v>3000000</v>
      </c>
      <c r="J111" s="73">
        <f t="shared" si="30"/>
        <v>2.57201646090535</v>
      </c>
      <c r="K111" s="166">
        <f t="shared" si="31"/>
        <v>113640000</v>
      </c>
      <c r="L111" s="73">
        <f t="shared" si="32"/>
        <v>97.427983539094654</v>
      </c>
      <c r="N111" s="51"/>
      <c r="O111" s="36"/>
    </row>
    <row r="112" spans="1:15" ht="21" x14ac:dyDescent="0.2">
      <c r="A112" s="172"/>
      <c r="B112" s="185" t="s">
        <v>286</v>
      </c>
      <c r="C112" s="189" t="s">
        <v>203</v>
      </c>
      <c r="D112" s="151">
        <v>146640000</v>
      </c>
      <c r="E112" s="157">
        <f>D112/D109*100</f>
        <v>13.374631978723173</v>
      </c>
      <c r="F112" s="157">
        <v>100</v>
      </c>
      <c r="G112" s="157">
        <f t="shared" si="23"/>
        <v>1.67075831969449</v>
      </c>
      <c r="H112" s="157">
        <f t="shared" si="22"/>
        <v>0.22345777651303719</v>
      </c>
      <c r="I112" s="186">
        <v>2450000</v>
      </c>
      <c r="J112" s="73">
        <f t="shared" si="30"/>
        <v>1.67075831969449</v>
      </c>
      <c r="K112" s="166">
        <f t="shared" si="31"/>
        <v>144190000</v>
      </c>
      <c r="L112" s="73">
        <f t="shared" si="32"/>
        <v>98.329241680305515</v>
      </c>
      <c r="N112" s="51"/>
      <c r="O112" s="36"/>
    </row>
    <row r="113" spans="1:15" ht="31.5" x14ac:dyDescent="0.2">
      <c r="A113" s="172"/>
      <c r="B113" s="185" t="s">
        <v>287</v>
      </c>
      <c r="C113" s="189" t="s">
        <v>169</v>
      </c>
      <c r="D113" s="151">
        <v>160260000</v>
      </c>
      <c r="E113" s="157">
        <f>D113/D109*100</f>
        <v>14.616874801624219</v>
      </c>
      <c r="F113" s="157">
        <v>100</v>
      </c>
      <c r="G113" s="157">
        <f t="shared" si="23"/>
        <v>0</v>
      </c>
      <c r="H113" s="157">
        <f t="shared" si="22"/>
        <v>0</v>
      </c>
      <c r="I113" s="137">
        <v>0</v>
      </c>
      <c r="J113" s="73">
        <f t="shared" si="30"/>
        <v>0</v>
      </c>
      <c r="K113" s="166">
        <f t="shared" si="31"/>
        <v>160260000</v>
      </c>
      <c r="L113" s="73">
        <f t="shared" si="32"/>
        <v>100</v>
      </c>
      <c r="N113" s="51">
        <v>89350000</v>
      </c>
      <c r="O113" s="36">
        <f>I113-N113</f>
        <v>-89350000</v>
      </c>
    </row>
    <row r="114" spans="1:15" ht="31.5" x14ac:dyDescent="0.2">
      <c r="A114" s="172"/>
      <c r="B114" s="185" t="s">
        <v>288</v>
      </c>
      <c r="C114" s="189" t="s">
        <v>171</v>
      </c>
      <c r="D114" s="151">
        <v>155964000</v>
      </c>
      <c r="E114" s="157">
        <f>D114/D109*100</f>
        <v>14.225048431052786</v>
      </c>
      <c r="F114" s="157">
        <v>100</v>
      </c>
      <c r="G114" s="157">
        <f t="shared" si="23"/>
        <v>0</v>
      </c>
      <c r="H114" s="157">
        <f t="shared" si="22"/>
        <v>0</v>
      </c>
      <c r="I114" s="137">
        <v>0</v>
      </c>
      <c r="J114" s="73">
        <f t="shared" si="30"/>
        <v>0</v>
      </c>
      <c r="K114" s="166">
        <f t="shared" si="31"/>
        <v>155964000</v>
      </c>
      <c r="L114" s="73">
        <f t="shared" si="32"/>
        <v>100</v>
      </c>
      <c r="N114" s="51">
        <v>125977500</v>
      </c>
      <c r="O114" s="36">
        <f>I114-N114</f>
        <v>-125977500</v>
      </c>
    </row>
    <row r="115" spans="1:15" ht="21.75" thickBot="1" x14ac:dyDescent="0.25">
      <c r="A115" s="176"/>
      <c r="B115" s="182" t="s">
        <v>289</v>
      </c>
      <c r="C115" s="190" t="s">
        <v>202</v>
      </c>
      <c r="D115" s="152">
        <v>295260000</v>
      </c>
      <c r="E115" s="159">
        <f>D115/D109*100</f>
        <v>26.929854323771163</v>
      </c>
      <c r="F115" s="159">
        <v>100</v>
      </c>
      <c r="G115" s="159">
        <f>J115</f>
        <v>0</v>
      </c>
      <c r="H115" s="159">
        <f>G115*E115/100</f>
        <v>0</v>
      </c>
      <c r="I115" s="141">
        <v>0</v>
      </c>
      <c r="J115" s="170">
        <f t="shared" si="30"/>
        <v>0</v>
      </c>
      <c r="K115" s="167">
        <f t="shared" si="31"/>
        <v>295260000</v>
      </c>
      <c r="L115" s="170">
        <f t="shared" si="32"/>
        <v>100</v>
      </c>
      <c r="N115" s="94"/>
      <c r="O115" s="36">
        <f>I115-N115</f>
        <v>0</v>
      </c>
    </row>
    <row r="116" spans="1:15" x14ac:dyDescent="0.2">
      <c r="A116" s="153"/>
      <c r="B116" s="95"/>
      <c r="D116" s="153"/>
      <c r="E116" s="153"/>
      <c r="F116" s="153"/>
      <c r="G116" s="153"/>
      <c r="H116" s="153"/>
      <c r="J116" s="153"/>
      <c r="K116" s="153"/>
      <c r="L116" s="153"/>
      <c r="N116" s="95"/>
    </row>
    <row r="117" spans="1:15" ht="11.25" customHeight="1" x14ac:dyDescent="0.2">
      <c r="J117" s="315" t="s">
        <v>294</v>
      </c>
      <c r="K117" s="315"/>
      <c r="L117" s="315"/>
    </row>
    <row r="118" spans="1:15" ht="15" customHeight="1" x14ac:dyDescent="0.2">
      <c r="J118" s="315" t="s">
        <v>172</v>
      </c>
      <c r="K118" s="315"/>
      <c r="L118" s="315"/>
    </row>
    <row r="119" spans="1:15" x14ac:dyDescent="0.2">
      <c r="K119" s="168"/>
      <c r="L119" s="169"/>
    </row>
    <row r="120" spans="1:15" x14ac:dyDescent="0.2">
      <c r="K120" s="168"/>
      <c r="L120" s="169"/>
    </row>
    <row r="121" spans="1:15" x14ac:dyDescent="0.2">
      <c r="K121" s="168"/>
      <c r="L121" s="169"/>
    </row>
    <row r="122" spans="1:15" ht="15" customHeight="1" x14ac:dyDescent="0.2">
      <c r="I122" s="128"/>
      <c r="J122" s="316" t="s">
        <v>206</v>
      </c>
      <c r="K122" s="316"/>
      <c r="L122" s="316"/>
    </row>
    <row r="123" spans="1:15" ht="11.25" customHeight="1" x14ac:dyDescent="0.2">
      <c r="I123" s="129"/>
      <c r="J123" s="317" t="s">
        <v>174</v>
      </c>
      <c r="K123" s="317"/>
      <c r="L123" s="317"/>
    </row>
    <row r="124" spans="1:15" x14ac:dyDescent="0.2">
      <c r="K124" s="153"/>
    </row>
    <row r="127" spans="1:15" x14ac:dyDescent="0.2">
      <c r="A127" s="154" t="s">
        <v>198</v>
      </c>
    </row>
    <row r="128" spans="1:15" x14ac:dyDescent="0.2">
      <c r="D128" s="155"/>
    </row>
    <row r="130" spans="3:3" x14ac:dyDescent="0.2">
      <c r="C130" s="126"/>
    </row>
  </sheetData>
  <mergeCells count="20">
    <mergeCell ref="N7:N8"/>
    <mergeCell ref="A1:L1"/>
    <mergeCell ref="A2:L2"/>
    <mergeCell ref="A6:A8"/>
    <mergeCell ref="B6:B8"/>
    <mergeCell ref="C6:C8"/>
    <mergeCell ref="D6:D8"/>
    <mergeCell ref="E6:E8"/>
    <mergeCell ref="F6:F8"/>
    <mergeCell ref="G6:J6"/>
    <mergeCell ref="K6:K8"/>
    <mergeCell ref="L6:L8"/>
    <mergeCell ref="G7:H7"/>
    <mergeCell ref="I7:I8"/>
    <mergeCell ref="J7:J8"/>
    <mergeCell ref="B9:C9"/>
    <mergeCell ref="J117:L117"/>
    <mergeCell ref="J118:L118"/>
    <mergeCell ref="J122:L122"/>
    <mergeCell ref="J123:L123"/>
  </mergeCells>
  <printOptions horizontalCentered="1"/>
  <pageMargins left="0" right="0" top="0.43307086614173229" bottom="0.27559055118110237" header="0.31496062992125984" footer="0.15748031496062992"/>
  <pageSetup paperSize="10000" scale="84" orientation="landscape" horizontalDpi="4294967293" r:id="rId1"/>
  <rowBreaks count="3" manualBreakCount="3">
    <brk id="35" max="11" man="1"/>
    <brk id="67" max="11" man="1"/>
    <brk id="9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29"/>
  <sheetViews>
    <sheetView view="pageBreakPreview" topLeftCell="C1" zoomScale="114" zoomScaleSheetLayoutView="114" workbookViewId="0">
      <selection activeCell="N73" sqref="N73"/>
    </sheetView>
  </sheetViews>
  <sheetFormatPr defaultColWidth="9.140625" defaultRowHeight="11.25" x14ac:dyDescent="0.2"/>
  <cols>
    <col min="1" max="1" width="5.42578125" style="1" customWidth="1"/>
    <col min="2" max="2" width="15.7109375" style="1" bestFit="1" customWidth="1"/>
    <col min="3" max="3" width="22.5703125" style="1" customWidth="1"/>
    <col min="4" max="4" width="19.28515625" style="1" bestFit="1" customWidth="1"/>
    <col min="5" max="5" width="10" style="1" bestFit="1" customWidth="1"/>
    <col min="6" max="6" width="6.42578125" style="1" bestFit="1" customWidth="1"/>
    <col min="7" max="8" width="10.42578125" style="1" bestFit="1" customWidth="1"/>
    <col min="9" max="9" width="16.85546875" style="1" bestFit="1" customWidth="1"/>
    <col min="10" max="10" width="8.5703125" style="1" bestFit="1" customWidth="1"/>
    <col min="11" max="11" width="14.7109375" style="1" customWidth="1"/>
    <col min="12" max="12" width="8.140625" style="1" bestFit="1" customWidth="1"/>
    <col min="13" max="13" width="10.42578125" style="1" customWidth="1"/>
    <col min="14" max="14" width="18.85546875" style="1" customWidth="1"/>
    <col min="15" max="15" width="24.85546875" style="1" hidden="1" customWidth="1"/>
    <col min="16" max="16" width="13.85546875" style="1" hidden="1" customWidth="1"/>
    <col min="17" max="17" width="17.85546875" style="1" customWidth="1"/>
    <col min="18" max="16384" width="9.140625" style="1"/>
  </cols>
  <sheetData>
    <row r="1" spans="1:17" ht="15" x14ac:dyDescent="0.3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7" ht="15" x14ac:dyDescent="0.3">
      <c r="A2" s="320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3" spans="1:17" ht="10.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</row>
    <row r="4" spans="1:17" ht="10.5" x14ac:dyDescent="0.25">
      <c r="A4" s="3" t="s">
        <v>2</v>
      </c>
      <c r="B4" s="3"/>
      <c r="C4" s="4"/>
      <c r="D4" s="4"/>
      <c r="E4" s="5"/>
      <c r="F4" s="5"/>
      <c r="G4" s="6"/>
      <c r="H4" s="7"/>
      <c r="I4" s="8"/>
      <c r="J4" s="7"/>
      <c r="K4" s="9"/>
      <c r="L4" s="9" t="s">
        <v>3</v>
      </c>
      <c r="M4" s="7" t="s">
        <v>175</v>
      </c>
      <c r="O4" s="8"/>
    </row>
    <row r="5" spans="1:17" ht="11.1" thickBot="1" x14ac:dyDescent="0.3">
      <c r="A5" s="7"/>
      <c r="B5" s="7"/>
      <c r="C5" s="7"/>
      <c r="D5" s="4"/>
      <c r="E5" s="4"/>
      <c r="F5" s="4"/>
      <c r="G5" s="7"/>
      <c r="H5" s="7"/>
      <c r="I5" s="7"/>
      <c r="J5" s="7"/>
      <c r="K5" s="9"/>
      <c r="L5" s="9" t="s">
        <v>4</v>
      </c>
      <c r="M5" s="7" t="s">
        <v>5</v>
      </c>
      <c r="O5" s="7"/>
    </row>
    <row r="6" spans="1:17" ht="15" customHeight="1" x14ac:dyDescent="0.2">
      <c r="A6" s="321" t="s">
        <v>6</v>
      </c>
      <c r="B6" s="324" t="s">
        <v>7</v>
      </c>
      <c r="C6" s="327" t="s">
        <v>8</v>
      </c>
      <c r="D6" s="324" t="s">
        <v>9</v>
      </c>
      <c r="E6" s="324" t="s">
        <v>10</v>
      </c>
      <c r="F6" s="324" t="s">
        <v>11</v>
      </c>
      <c r="G6" s="330" t="s">
        <v>12</v>
      </c>
      <c r="H6" s="331"/>
      <c r="I6" s="331"/>
      <c r="J6" s="332"/>
      <c r="K6" s="333" t="s">
        <v>13</v>
      </c>
      <c r="L6" s="343" t="s">
        <v>14</v>
      </c>
      <c r="M6" s="336" t="s">
        <v>15</v>
      </c>
    </row>
    <row r="7" spans="1:17" ht="11.25" customHeight="1" x14ac:dyDescent="0.2">
      <c r="A7" s="322"/>
      <c r="B7" s="325"/>
      <c r="C7" s="328"/>
      <c r="D7" s="325"/>
      <c r="E7" s="325"/>
      <c r="F7" s="325"/>
      <c r="G7" s="339" t="s">
        <v>16</v>
      </c>
      <c r="H7" s="340"/>
      <c r="I7" s="341" t="s">
        <v>17</v>
      </c>
      <c r="J7" s="342" t="s">
        <v>14</v>
      </c>
      <c r="K7" s="334"/>
      <c r="L7" s="344"/>
      <c r="M7" s="337"/>
      <c r="O7" s="318" t="s">
        <v>18</v>
      </c>
    </row>
    <row r="8" spans="1:17" ht="21.75" thickBot="1" x14ac:dyDescent="0.25">
      <c r="A8" s="323"/>
      <c r="B8" s="326"/>
      <c r="C8" s="329"/>
      <c r="D8" s="326"/>
      <c r="E8" s="326"/>
      <c r="F8" s="326"/>
      <c r="G8" s="10" t="s">
        <v>19</v>
      </c>
      <c r="H8" s="10" t="s">
        <v>20</v>
      </c>
      <c r="I8" s="326"/>
      <c r="J8" s="338"/>
      <c r="K8" s="335"/>
      <c r="L8" s="345"/>
      <c r="M8" s="338"/>
      <c r="O8" s="319"/>
    </row>
    <row r="9" spans="1:17" ht="15.75" hidden="1" customHeight="1" x14ac:dyDescent="0.25">
      <c r="A9" s="11">
        <v>1</v>
      </c>
      <c r="B9" s="313">
        <v>2</v>
      </c>
      <c r="C9" s="314"/>
      <c r="D9" s="12">
        <v>3</v>
      </c>
      <c r="E9" s="12">
        <v>4</v>
      </c>
      <c r="F9" s="12">
        <v>5</v>
      </c>
      <c r="G9" s="12">
        <v>6</v>
      </c>
      <c r="H9" s="12" t="s">
        <v>21</v>
      </c>
      <c r="I9" s="12">
        <v>9</v>
      </c>
      <c r="J9" s="13" t="s">
        <v>22</v>
      </c>
      <c r="K9" s="14" t="s">
        <v>23</v>
      </c>
      <c r="L9" s="15" t="s">
        <v>24</v>
      </c>
      <c r="M9" s="13">
        <v>13</v>
      </c>
      <c r="O9" s="12">
        <v>9</v>
      </c>
    </row>
    <row r="10" spans="1:17" ht="10.5" x14ac:dyDescent="0.25">
      <c r="A10" s="16"/>
      <c r="B10" s="17"/>
      <c r="C10" s="18"/>
      <c r="D10" s="19"/>
      <c r="E10" s="19"/>
      <c r="F10" s="19"/>
      <c r="G10" s="19"/>
      <c r="H10" s="19"/>
      <c r="I10" s="20"/>
      <c r="J10" s="21"/>
      <c r="K10" s="22"/>
      <c r="L10" s="19"/>
      <c r="M10" s="23"/>
      <c r="O10" s="24">
        <v>-4495232868</v>
      </c>
    </row>
    <row r="11" spans="1:17" ht="10.5" x14ac:dyDescent="0.25">
      <c r="A11" s="25"/>
      <c r="B11" s="26"/>
      <c r="C11" s="27" t="s">
        <v>25</v>
      </c>
      <c r="D11" s="28">
        <f>D16+D13</f>
        <v>21595726957</v>
      </c>
      <c r="E11" s="29">
        <v>100</v>
      </c>
      <c r="F11" s="30">
        <f>(F16+F13)/2</f>
        <v>100</v>
      </c>
      <c r="G11" s="29">
        <f>J11</f>
        <v>21.227185739696051</v>
      </c>
      <c r="H11" s="30">
        <f>E11*G11/100</f>
        <v>21.227185739696051</v>
      </c>
      <c r="I11" s="31">
        <f>I16+I13</f>
        <v>4584165073</v>
      </c>
      <c r="J11" s="32">
        <f>I11/D11*100</f>
        <v>21.227185739696051</v>
      </c>
      <c r="K11" s="33">
        <f>K16+K13</f>
        <v>17011561884</v>
      </c>
      <c r="L11" s="34">
        <f>K11/D11*100</f>
        <v>78.772814260303946</v>
      </c>
      <c r="M11" s="35"/>
      <c r="O11" s="31">
        <v>11493328563</v>
      </c>
      <c r="P11" s="36">
        <f>I11-O11</f>
        <v>-6909163490</v>
      </c>
    </row>
    <row r="12" spans="1:17" ht="10.5" x14ac:dyDescent="0.25">
      <c r="A12" s="25"/>
      <c r="B12" s="37"/>
      <c r="C12" s="38"/>
      <c r="D12" s="39"/>
      <c r="E12" s="34"/>
      <c r="F12" s="34"/>
      <c r="G12" s="34"/>
      <c r="H12" s="34"/>
      <c r="I12" s="40"/>
      <c r="J12" s="41"/>
      <c r="K12" s="33"/>
      <c r="L12" s="34"/>
      <c r="M12" s="42"/>
      <c r="O12" s="40"/>
      <c r="P12" s="36">
        <f t="shared" ref="P12:P81" si="0">I12-O12</f>
        <v>0</v>
      </c>
    </row>
    <row r="13" spans="1:17" ht="24.75" customHeight="1" x14ac:dyDescent="0.25">
      <c r="A13" s="43">
        <v>1</v>
      </c>
      <c r="B13" s="26" t="s">
        <v>26</v>
      </c>
      <c r="C13" s="27" t="s">
        <v>27</v>
      </c>
      <c r="D13" s="28">
        <v>4554768782</v>
      </c>
      <c r="E13" s="29">
        <f>D13/D11*100</f>
        <v>21.091064871625566</v>
      </c>
      <c r="F13" s="29">
        <f>F14</f>
        <v>100</v>
      </c>
      <c r="G13" s="29">
        <f>J13</f>
        <v>26.194394580796086</v>
      </c>
      <c r="H13" s="29">
        <f>E13*G13/100</f>
        <v>5.5246767537652737</v>
      </c>
      <c r="I13" s="44">
        <f>I14</f>
        <v>1193094107</v>
      </c>
      <c r="J13" s="32">
        <f>J14</f>
        <v>26.194394580796086</v>
      </c>
      <c r="K13" s="33">
        <f t="shared" ref="K13:K27" si="1">D13-I13</f>
        <v>3361674675</v>
      </c>
      <c r="L13" s="34">
        <f>L14</f>
        <v>73.805605419203914</v>
      </c>
      <c r="M13" s="35"/>
      <c r="O13" s="31">
        <v>2383915726</v>
      </c>
      <c r="P13" s="36">
        <f t="shared" si="0"/>
        <v>-1190821619</v>
      </c>
    </row>
    <row r="14" spans="1:17" ht="10.5" x14ac:dyDescent="0.25">
      <c r="A14" s="45"/>
      <c r="B14" s="122" t="s">
        <v>28</v>
      </c>
      <c r="C14" s="47" t="s">
        <v>29</v>
      </c>
      <c r="D14" s="39">
        <f>D13</f>
        <v>4554768782</v>
      </c>
      <c r="E14" s="34">
        <f>D14/$D$11*100</f>
        <v>21.091064871625566</v>
      </c>
      <c r="F14" s="34">
        <v>100</v>
      </c>
      <c r="G14" s="34">
        <f>J14</f>
        <v>26.194394580796086</v>
      </c>
      <c r="H14" s="34">
        <f>E14*G14/100</f>
        <v>5.5246767537652737</v>
      </c>
      <c r="I14" s="48">
        <f>499098708+158668013+535327386</f>
        <v>1193094107</v>
      </c>
      <c r="J14" s="41">
        <f>I14/D14*100</f>
        <v>26.194394580796086</v>
      </c>
      <c r="K14" s="49">
        <f t="shared" si="1"/>
        <v>3361674675</v>
      </c>
      <c r="L14" s="50">
        <f>K14/D14*100</f>
        <v>73.805605419203914</v>
      </c>
      <c r="M14" s="42"/>
      <c r="O14" s="51">
        <v>2383915726</v>
      </c>
      <c r="P14" s="36">
        <f t="shared" si="0"/>
        <v>-1190821619</v>
      </c>
    </row>
    <row r="15" spans="1:17" ht="10.5" x14ac:dyDescent="0.25">
      <c r="A15" s="45"/>
      <c r="B15" s="37"/>
      <c r="C15" s="52"/>
      <c r="D15" s="53"/>
      <c r="E15" s="34"/>
      <c r="F15" s="34"/>
      <c r="G15" s="34"/>
      <c r="H15" s="34"/>
      <c r="I15" s="54"/>
      <c r="J15" s="41"/>
      <c r="K15" s="49">
        <f t="shared" si="1"/>
        <v>0</v>
      </c>
      <c r="L15" s="34"/>
      <c r="M15" s="42"/>
      <c r="O15" s="40"/>
      <c r="P15" s="36">
        <f t="shared" si="0"/>
        <v>0</v>
      </c>
    </row>
    <row r="16" spans="1:17" ht="10.5" x14ac:dyDescent="0.25">
      <c r="A16" s="43">
        <v>2</v>
      </c>
      <c r="B16" s="26" t="s">
        <v>30</v>
      </c>
      <c r="C16" s="27" t="s">
        <v>31</v>
      </c>
      <c r="D16" s="28">
        <f>D17+D29+D39+D43+D46+D55+D61+D68+D71+D76+D80+D93+D101+D108</f>
        <v>17040958175</v>
      </c>
      <c r="E16" s="55">
        <f>D16/D11*100</f>
        <v>78.908935128374438</v>
      </c>
      <c r="F16" s="30">
        <v>100</v>
      </c>
      <c r="G16" s="30">
        <f>J16</f>
        <v>19.899532239770899</v>
      </c>
      <c r="H16" s="55">
        <f>G16*E16/100</f>
        <v>15.702508985930777</v>
      </c>
      <c r="I16" s="101">
        <f>I17+I29+I39+I43+I46+I55+I61+I68+I71+I76+I80+I93+I101+I108</f>
        <v>3391070966</v>
      </c>
      <c r="J16" s="32">
        <f t="shared" ref="J16:J27" si="2">I16/D16*100</f>
        <v>19.899532239770899</v>
      </c>
      <c r="K16" s="33">
        <f t="shared" si="1"/>
        <v>13649887209</v>
      </c>
      <c r="L16" s="34">
        <f t="shared" ref="L16:L27" si="3">K16/D16*100</f>
        <v>80.100467760229094</v>
      </c>
      <c r="M16" s="35"/>
      <c r="N16" s="56"/>
      <c r="O16" s="31">
        <v>9109412837</v>
      </c>
      <c r="P16" s="36">
        <f t="shared" si="0"/>
        <v>-5718341871</v>
      </c>
      <c r="Q16" s="57"/>
    </row>
    <row r="17" spans="1:16" ht="20.100000000000001" x14ac:dyDescent="0.25">
      <c r="A17" s="25" t="s">
        <v>32</v>
      </c>
      <c r="B17" s="26" t="s">
        <v>33</v>
      </c>
      <c r="C17" s="27" t="str">
        <f>[1]April!$C$24</f>
        <v>Program Pelayanan Administrasi Perkantoran</v>
      </c>
      <c r="D17" s="28">
        <f>SUM(D18:D27)</f>
        <v>2546655075</v>
      </c>
      <c r="E17" s="29">
        <f>D17/D16*100</f>
        <v>14.944318557955736</v>
      </c>
      <c r="F17" s="29">
        <f>AVERAGE(F18:F27)</f>
        <v>100</v>
      </c>
      <c r="G17" s="29">
        <f>J17</f>
        <v>47.488841534615759</v>
      </c>
      <c r="H17" s="29">
        <f>G17*E17/100</f>
        <v>7.0968837584157747</v>
      </c>
      <c r="I17" s="102">
        <f>SUM(I18:I27)</f>
        <v>1209376993</v>
      </c>
      <c r="J17" s="32">
        <f t="shared" si="2"/>
        <v>47.488841534615759</v>
      </c>
      <c r="K17" s="33">
        <f t="shared" si="1"/>
        <v>1337278082</v>
      </c>
      <c r="L17" s="34">
        <f t="shared" si="3"/>
        <v>52.511158465384241</v>
      </c>
      <c r="M17" s="35"/>
      <c r="O17" s="31">
        <v>1291959978</v>
      </c>
      <c r="P17" s="36">
        <f t="shared" si="0"/>
        <v>-82582985</v>
      </c>
    </row>
    <row r="18" spans="1:16" ht="10.5" x14ac:dyDescent="0.25">
      <c r="A18" s="45"/>
      <c r="B18" s="46" t="s">
        <v>34</v>
      </c>
      <c r="C18" s="47" t="s">
        <v>35</v>
      </c>
      <c r="D18" s="58">
        <v>27216000</v>
      </c>
      <c r="E18" s="34">
        <f>D18/D17*100</f>
        <v>1.068695963861537</v>
      </c>
      <c r="F18" s="34">
        <v>100</v>
      </c>
      <c r="G18" s="34">
        <f>J18</f>
        <v>25.169018224573779</v>
      </c>
      <c r="H18" s="34">
        <f>G18*E18/100</f>
        <v>0.26898028190959467</v>
      </c>
      <c r="I18" s="59">
        <v>6850000</v>
      </c>
      <c r="J18" s="41">
        <f t="shared" si="2"/>
        <v>25.169018224573779</v>
      </c>
      <c r="K18" s="49">
        <f t="shared" si="1"/>
        <v>20366000</v>
      </c>
      <c r="L18" s="34">
        <f t="shared" si="3"/>
        <v>74.830981775426224</v>
      </c>
      <c r="M18" s="42"/>
      <c r="O18" s="51">
        <v>16505000</v>
      </c>
      <c r="P18" s="36">
        <f t="shared" si="0"/>
        <v>-9655000</v>
      </c>
    </row>
    <row r="19" spans="1:16" ht="20.100000000000001" x14ac:dyDescent="0.25">
      <c r="A19" s="45"/>
      <c r="B19" s="122" t="s">
        <v>36</v>
      </c>
      <c r="C19" s="47" t="s">
        <v>37</v>
      </c>
      <c r="D19" s="58">
        <v>1323000000</v>
      </c>
      <c r="E19" s="34">
        <f>D19/D17*100</f>
        <v>51.950498243269159</v>
      </c>
      <c r="F19" s="34">
        <v>100</v>
      </c>
      <c r="G19" s="34">
        <v>9.07</v>
      </c>
      <c r="H19" s="34">
        <f>G19*E19/100</f>
        <v>4.7119101906645131</v>
      </c>
      <c r="I19" s="48">
        <f>180000000+68752305+619361581</f>
        <v>868113886</v>
      </c>
      <c r="J19" s="41">
        <f t="shared" si="2"/>
        <v>65.617073771730915</v>
      </c>
      <c r="K19" s="49">
        <f t="shared" si="1"/>
        <v>454886114</v>
      </c>
      <c r="L19" s="34">
        <f t="shared" si="3"/>
        <v>34.382926228269085</v>
      </c>
      <c r="M19" s="42"/>
      <c r="O19" s="51">
        <v>504908116</v>
      </c>
      <c r="P19" s="36">
        <f t="shared" si="0"/>
        <v>363205770</v>
      </c>
    </row>
    <row r="20" spans="1:16" ht="20.100000000000001" x14ac:dyDescent="0.25">
      <c r="A20" s="45"/>
      <c r="B20" s="122" t="s">
        <v>38</v>
      </c>
      <c r="C20" s="47" t="s">
        <v>39</v>
      </c>
      <c r="D20" s="60">
        <v>239095000</v>
      </c>
      <c r="E20" s="34">
        <f>D20/D17*100</f>
        <v>9.3885898544780346</v>
      </c>
      <c r="F20" s="34">
        <v>100</v>
      </c>
      <c r="G20" s="34">
        <f>J20</f>
        <v>34.29599113323156</v>
      </c>
      <c r="H20" s="34">
        <f t="shared" ref="H20:H83" si="4">G20*E20/100</f>
        <v>3.2199099440272647</v>
      </c>
      <c r="I20" s="48">
        <f>24000000+4000000+54000000</f>
        <v>82000000</v>
      </c>
      <c r="J20" s="41">
        <f t="shared" si="2"/>
        <v>34.29599113323156</v>
      </c>
      <c r="K20" s="49">
        <f t="shared" si="1"/>
        <v>157095000</v>
      </c>
      <c r="L20" s="34">
        <f t="shared" si="3"/>
        <v>65.704008866768433</v>
      </c>
      <c r="M20" s="42"/>
      <c r="O20" s="51">
        <v>138855000</v>
      </c>
      <c r="P20" s="36">
        <f t="shared" si="0"/>
        <v>-56855000</v>
      </c>
    </row>
    <row r="21" spans="1:16" ht="10.5" x14ac:dyDescent="0.25">
      <c r="A21" s="45"/>
      <c r="B21" s="46" t="s">
        <v>40</v>
      </c>
      <c r="C21" s="47" t="s">
        <v>41</v>
      </c>
      <c r="D21" s="60">
        <v>72020000</v>
      </c>
      <c r="E21" s="34">
        <f>D21/D17*100</f>
        <v>2.8280233435224829</v>
      </c>
      <c r="F21" s="34">
        <v>100</v>
      </c>
      <c r="G21" s="34">
        <f t="shared" ref="G21:G84" si="5">J21</f>
        <v>25.687309080810888</v>
      </c>
      <c r="H21" s="34">
        <f t="shared" si="4"/>
        <v>0.7264430971281024</v>
      </c>
      <c r="I21" s="59">
        <f>2000000+16500000</f>
        <v>18500000</v>
      </c>
      <c r="J21" s="41">
        <f t="shared" si="2"/>
        <v>25.687309080810888</v>
      </c>
      <c r="K21" s="49">
        <f t="shared" si="1"/>
        <v>53520000</v>
      </c>
      <c r="L21" s="34">
        <f t="shared" si="3"/>
        <v>74.312690919189123</v>
      </c>
      <c r="M21" s="42"/>
      <c r="O21" s="51">
        <v>30435000</v>
      </c>
      <c r="P21" s="36">
        <f t="shared" si="0"/>
        <v>-11935000</v>
      </c>
    </row>
    <row r="22" spans="1:16" ht="21" x14ac:dyDescent="0.2">
      <c r="A22" s="45"/>
      <c r="B22" s="46" t="s">
        <v>42</v>
      </c>
      <c r="C22" s="47" t="s">
        <v>43</v>
      </c>
      <c r="D22" s="60">
        <v>83818800</v>
      </c>
      <c r="E22" s="34">
        <f>D22/D17*100</f>
        <v>3.291329117273567</v>
      </c>
      <c r="F22" s="34">
        <v>100</v>
      </c>
      <c r="G22" s="34">
        <f t="shared" si="5"/>
        <v>21.999837745231378</v>
      </c>
      <c r="H22" s="34">
        <f t="shared" si="4"/>
        <v>0.72408706546174084</v>
      </c>
      <c r="I22" s="59">
        <v>18440000</v>
      </c>
      <c r="J22" s="41">
        <f t="shared" si="2"/>
        <v>21.999837745231378</v>
      </c>
      <c r="K22" s="49">
        <f t="shared" si="1"/>
        <v>65378800</v>
      </c>
      <c r="L22" s="34">
        <f t="shared" si="3"/>
        <v>78.000162254768625</v>
      </c>
      <c r="M22" s="42"/>
      <c r="O22" s="51">
        <v>36271000</v>
      </c>
      <c r="P22" s="36">
        <f t="shared" si="0"/>
        <v>-17831000</v>
      </c>
    </row>
    <row r="23" spans="1:16" ht="31.5" x14ac:dyDescent="0.2">
      <c r="A23" s="45"/>
      <c r="B23" s="46" t="s">
        <v>44</v>
      </c>
      <c r="C23" s="47" t="s">
        <v>45</v>
      </c>
      <c r="D23" s="60">
        <v>18750000</v>
      </c>
      <c r="E23" s="34">
        <f>D23/D16*100</f>
        <v>0.11002902423355077</v>
      </c>
      <c r="F23" s="34">
        <v>100</v>
      </c>
      <c r="G23" s="34">
        <f t="shared" si="5"/>
        <v>56.570666666666668</v>
      </c>
      <c r="H23" s="34">
        <f t="shared" si="4"/>
        <v>6.2244152535747894E-2</v>
      </c>
      <c r="I23" s="59">
        <v>10607000</v>
      </c>
      <c r="J23" s="41">
        <f t="shared" si="2"/>
        <v>56.570666666666668</v>
      </c>
      <c r="K23" s="49">
        <f t="shared" si="1"/>
        <v>8143000</v>
      </c>
      <c r="L23" s="34">
        <f t="shared" si="3"/>
        <v>43.429333333333332</v>
      </c>
      <c r="M23" s="42"/>
      <c r="O23" s="51"/>
      <c r="P23" s="36"/>
    </row>
    <row r="24" spans="1:16" ht="31.5" x14ac:dyDescent="0.2">
      <c r="A24" s="45"/>
      <c r="B24" s="122" t="s">
        <v>46</v>
      </c>
      <c r="C24" s="47" t="s">
        <v>47</v>
      </c>
      <c r="D24" s="60">
        <v>52572800</v>
      </c>
      <c r="E24" s="34">
        <f>D24/D17*100</f>
        <v>2.0643863598214218</v>
      </c>
      <c r="F24" s="34">
        <v>100</v>
      </c>
      <c r="G24" s="34">
        <f t="shared" si="5"/>
        <v>27.818567776492785</v>
      </c>
      <c r="H24" s="34">
        <f t="shared" si="4"/>
        <v>0.57428271867559444</v>
      </c>
      <c r="I24" s="48">
        <f>3465000+(3720000+3924000)+3516000</f>
        <v>14625000</v>
      </c>
      <c r="J24" s="41">
        <f t="shared" si="2"/>
        <v>27.818567776492785</v>
      </c>
      <c r="K24" s="49">
        <f t="shared" si="1"/>
        <v>37947800</v>
      </c>
      <c r="L24" s="34">
        <f t="shared" si="3"/>
        <v>72.181432223507215</v>
      </c>
      <c r="M24" s="42"/>
      <c r="O24" s="51">
        <v>22580000</v>
      </c>
      <c r="P24" s="36">
        <f t="shared" si="0"/>
        <v>-7955000</v>
      </c>
    </row>
    <row r="25" spans="1:16" ht="21" x14ac:dyDescent="0.2">
      <c r="A25" s="45"/>
      <c r="B25" s="122" t="s">
        <v>48</v>
      </c>
      <c r="C25" s="47" t="s">
        <v>49</v>
      </c>
      <c r="D25" s="60">
        <v>129600000</v>
      </c>
      <c r="E25" s="34">
        <f>D25/D17*100</f>
        <v>5.0890283993406529</v>
      </c>
      <c r="F25" s="34">
        <v>100</v>
      </c>
      <c r="G25" s="34">
        <f t="shared" si="5"/>
        <v>6.3125</v>
      </c>
      <c r="H25" s="34">
        <f t="shared" si="4"/>
        <v>0.32124491770837871</v>
      </c>
      <c r="I25" s="48">
        <f>8145000+36000</f>
        <v>8181000</v>
      </c>
      <c r="J25" s="41">
        <f t="shared" si="2"/>
        <v>6.3125</v>
      </c>
      <c r="K25" s="49">
        <f t="shared" si="1"/>
        <v>121419000</v>
      </c>
      <c r="L25" s="34">
        <f t="shared" si="3"/>
        <v>93.6875</v>
      </c>
      <c r="M25" s="42"/>
      <c r="O25" s="51">
        <v>56291750</v>
      </c>
      <c r="P25" s="36">
        <f t="shared" si="0"/>
        <v>-48110750</v>
      </c>
    </row>
    <row r="26" spans="1:16" ht="21" x14ac:dyDescent="0.2">
      <c r="A26" s="45"/>
      <c r="B26" s="46" t="s">
        <v>50</v>
      </c>
      <c r="C26" s="47" t="s">
        <v>51</v>
      </c>
      <c r="D26" s="60">
        <v>563322475</v>
      </c>
      <c r="E26" s="34">
        <f>D26/D17*100</f>
        <v>22.12009315788476</v>
      </c>
      <c r="F26" s="34">
        <v>100</v>
      </c>
      <c r="G26" s="34">
        <f t="shared" si="5"/>
        <v>31.78643049880089</v>
      </c>
      <c r="H26" s="34">
        <f t="shared" si="4"/>
        <v>7.0311880379010505</v>
      </c>
      <c r="I26" s="59">
        <f>65000000+114060107</f>
        <v>179060107</v>
      </c>
      <c r="J26" s="41">
        <f t="shared" si="2"/>
        <v>31.78643049880089</v>
      </c>
      <c r="K26" s="49">
        <f t="shared" si="1"/>
        <v>384262368</v>
      </c>
      <c r="L26" s="34">
        <f t="shared" si="3"/>
        <v>68.213569501199117</v>
      </c>
      <c r="M26" s="42"/>
      <c r="O26" s="51">
        <v>477449112</v>
      </c>
      <c r="P26" s="36">
        <f t="shared" si="0"/>
        <v>-298389005</v>
      </c>
    </row>
    <row r="27" spans="1:16" ht="21" x14ac:dyDescent="0.2">
      <c r="A27" s="45"/>
      <c r="B27" s="46" t="s">
        <v>52</v>
      </c>
      <c r="C27" s="47" t="s">
        <v>53</v>
      </c>
      <c r="D27" s="60">
        <v>37260000</v>
      </c>
      <c r="E27" s="34">
        <f>D27/D17*100</f>
        <v>1.4630956648104376</v>
      </c>
      <c r="F27" s="34">
        <v>100</v>
      </c>
      <c r="G27" s="34">
        <f t="shared" si="5"/>
        <v>8.0515297906602257</v>
      </c>
      <c r="H27" s="34">
        <f t="shared" si="4"/>
        <v>0.11780158331807067</v>
      </c>
      <c r="I27" s="59">
        <f>1000000+2000000</f>
        <v>3000000</v>
      </c>
      <c r="J27" s="41">
        <f t="shared" si="2"/>
        <v>8.0515297906602257</v>
      </c>
      <c r="K27" s="49">
        <f t="shared" si="1"/>
        <v>34260000</v>
      </c>
      <c r="L27" s="34">
        <f t="shared" si="3"/>
        <v>91.948470209339774</v>
      </c>
      <c r="M27" s="42"/>
      <c r="O27" s="51">
        <v>8665000</v>
      </c>
      <c r="P27" s="36">
        <f t="shared" si="0"/>
        <v>-5665000</v>
      </c>
    </row>
    <row r="28" spans="1:16" x14ac:dyDescent="0.2">
      <c r="A28" s="45"/>
      <c r="B28" s="46"/>
      <c r="C28" s="47"/>
      <c r="D28" s="60"/>
      <c r="E28" s="29"/>
      <c r="F28" s="29"/>
      <c r="G28" s="34"/>
      <c r="H28" s="34"/>
      <c r="I28" s="59"/>
      <c r="J28" s="41"/>
      <c r="K28" s="49"/>
      <c r="L28" s="34"/>
      <c r="M28" s="42"/>
      <c r="O28" s="51"/>
      <c r="P28" s="36">
        <f t="shared" si="0"/>
        <v>0</v>
      </c>
    </row>
    <row r="29" spans="1:16" ht="31.5" x14ac:dyDescent="0.2">
      <c r="A29" s="25" t="s">
        <v>54</v>
      </c>
      <c r="B29" s="26" t="s">
        <v>55</v>
      </c>
      <c r="C29" s="27" t="str">
        <f>[1]April!$C$102</f>
        <v>Program Peningkatan Sarana dan Prasarana Aparatur</v>
      </c>
      <c r="D29" s="28">
        <f>SUM(D30:D37)</f>
        <v>2381138100</v>
      </c>
      <c r="E29" s="29">
        <f>D29/D16*100</f>
        <v>13.973029424444322</v>
      </c>
      <c r="F29" s="29">
        <f>AVERAGE(F31:F37)</f>
        <v>100</v>
      </c>
      <c r="G29" s="34">
        <f t="shared" si="5"/>
        <v>12.881369291432529</v>
      </c>
      <c r="H29" s="34">
        <f t="shared" si="4"/>
        <v>1.7999175213632024</v>
      </c>
      <c r="I29" s="103">
        <f>SUM(I31:I37)</f>
        <v>306723192</v>
      </c>
      <c r="J29" s="32">
        <f t="shared" ref="J29:J37" si="6">I29/D29*100</f>
        <v>12.881369291432529</v>
      </c>
      <c r="K29" s="33">
        <f t="shared" ref="K29:K37" si="7">D29-I29</f>
        <v>2074414908</v>
      </c>
      <c r="L29" s="34">
        <f>K29/D29*100</f>
        <v>87.118630708567466</v>
      </c>
      <c r="M29" s="35"/>
      <c r="O29" s="31">
        <v>485504227</v>
      </c>
      <c r="P29" s="36">
        <f t="shared" si="0"/>
        <v>-178781035</v>
      </c>
    </row>
    <row r="30" spans="1:16" ht="21" x14ac:dyDescent="0.2">
      <c r="A30" s="25"/>
      <c r="B30" s="122" t="s">
        <v>56</v>
      </c>
      <c r="C30" s="61" t="s">
        <v>57</v>
      </c>
      <c r="D30" s="39">
        <v>1120542500</v>
      </c>
      <c r="E30" s="34"/>
      <c r="F30" s="34">
        <v>100</v>
      </c>
      <c r="G30" s="34">
        <f t="shared" si="5"/>
        <v>22.57781387140604</v>
      </c>
      <c r="H30" s="34">
        <f t="shared" si="4"/>
        <v>0</v>
      </c>
      <c r="I30" s="48">
        <f>252994000</f>
        <v>252994000</v>
      </c>
      <c r="J30" s="41">
        <f t="shared" si="6"/>
        <v>22.57781387140604</v>
      </c>
      <c r="K30" s="49">
        <f t="shared" si="7"/>
        <v>867548500</v>
      </c>
      <c r="L30" s="34">
        <f t="shared" ref="L30:L37" si="8">K30/D30*100</f>
        <v>77.422186128593964</v>
      </c>
      <c r="M30" s="35"/>
      <c r="O30" s="31"/>
      <c r="P30" s="36"/>
    </row>
    <row r="31" spans="1:16" ht="21" x14ac:dyDescent="0.2">
      <c r="A31" s="45"/>
      <c r="B31" s="46" t="s">
        <v>58</v>
      </c>
      <c r="C31" s="61" t="s">
        <v>59</v>
      </c>
      <c r="D31" s="62">
        <v>52000000</v>
      </c>
      <c r="E31" s="34">
        <f>D31/D29*100</f>
        <v>2.1838296569191011</v>
      </c>
      <c r="F31" s="34">
        <v>100</v>
      </c>
      <c r="G31" s="34">
        <f t="shared" si="5"/>
        <v>0</v>
      </c>
      <c r="H31" s="34">
        <f t="shared" si="4"/>
        <v>0</v>
      </c>
      <c r="I31" s="59">
        <v>0</v>
      </c>
      <c r="J31" s="41">
        <f t="shared" si="6"/>
        <v>0</v>
      </c>
      <c r="K31" s="49">
        <f t="shared" si="7"/>
        <v>52000000</v>
      </c>
      <c r="L31" s="34">
        <f t="shared" si="8"/>
        <v>100</v>
      </c>
      <c r="M31" s="63"/>
      <c r="O31" s="51">
        <v>51710000</v>
      </c>
      <c r="P31" s="36">
        <f t="shared" si="0"/>
        <v>-51710000</v>
      </c>
    </row>
    <row r="32" spans="1:16" ht="21" x14ac:dyDescent="0.2">
      <c r="A32" s="45"/>
      <c r="B32" s="46" t="s">
        <v>60</v>
      </c>
      <c r="C32" s="52" t="s">
        <v>61</v>
      </c>
      <c r="D32" s="62">
        <v>230400000</v>
      </c>
      <c r="E32" s="34">
        <f>D32/D29*100</f>
        <v>9.676045249118479</v>
      </c>
      <c r="F32" s="34">
        <v>100</v>
      </c>
      <c r="G32" s="34">
        <f t="shared" si="5"/>
        <v>0</v>
      </c>
      <c r="H32" s="34">
        <f t="shared" si="4"/>
        <v>0</v>
      </c>
      <c r="I32" s="59">
        <v>0</v>
      </c>
      <c r="J32" s="41">
        <f t="shared" si="6"/>
        <v>0</v>
      </c>
      <c r="K32" s="49">
        <f t="shared" si="7"/>
        <v>230400000</v>
      </c>
      <c r="L32" s="34">
        <f t="shared" si="8"/>
        <v>100</v>
      </c>
      <c r="M32" s="63"/>
      <c r="O32" s="51">
        <v>122060000</v>
      </c>
      <c r="P32" s="36">
        <f t="shared" si="0"/>
        <v>-122060000</v>
      </c>
    </row>
    <row r="33" spans="1:16" ht="14.25" customHeight="1" x14ac:dyDescent="0.2">
      <c r="A33" s="45"/>
      <c r="B33" s="122" t="s">
        <v>62</v>
      </c>
      <c r="C33" s="61" t="s">
        <v>63</v>
      </c>
      <c r="D33" s="62">
        <v>25520000</v>
      </c>
      <c r="E33" s="34">
        <f>D33/D29*100</f>
        <v>1.0717564008572202</v>
      </c>
      <c r="F33" s="34">
        <v>100</v>
      </c>
      <c r="G33" s="34">
        <f t="shared" si="5"/>
        <v>89.860893416927894</v>
      </c>
      <c r="H33" s="34">
        <f t="shared" si="4"/>
        <v>0.96308987706340909</v>
      </c>
      <c r="I33" s="48">
        <f>22000000+932500</f>
        <v>22932500</v>
      </c>
      <c r="J33" s="41">
        <f t="shared" si="6"/>
        <v>89.860893416927894</v>
      </c>
      <c r="K33" s="49">
        <f t="shared" si="7"/>
        <v>2587500</v>
      </c>
      <c r="L33" s="34">
        <f t="shared" si="8"/>
        <v>10.139106583072101</v>
      </c>
      <c r="M33" s="63"/>
      <c r="O33" s="51">
        <v>20210000</v>
      </c>
      <c r="P33" s="36">
        <f t="shared" si="0"/>
        <v>2722500</v>
      </c>
    </row>
    <row r="34" spans="1:16" ht="21" x14ac:dyDescent="0.2">
      <c r="A34" s="45"/>
      <c r="B34" s="122" t="s">
        <v>64</v>
      </c>
      <c r="C34" s="47" t="s">
        <v>65</v>
      </c>
      <c r="D34" s="60">
        <v>252945600</v>
      </c>
      <c r="E34" s="34">
        <f>D34/D29*100</f>
        <v>10.622886593599926</v>
      </c>
      <c r="F34" s="34">
        <v>100</v>
      </c>
      <c r="G34" s="34">
        <f t="shared" si="5"/>
        <v>67.91657969144353</v>
      </c>
      <c r="H34" s="34">
        <f t="shared" si="4"/>
        <v>7.214701238873964</v>
      </c>
      <c r="I34" s="48">
        <f>7540000+(19352000+11000000)+133900000</f>
        <v>171792000</v>
      </c>
      <c r="J34" s="41">
        <f t="shared" si="6"/>
        <v>67.91657969144353</v>
      </c>
      <c r="K34" s="49">
        <f t="shared" si="7"/>
        <v>81153600</v>
      </c>
      <c r="L34" s="34">
        <f t="shared" si="8"/>
        <v>32.083420308556462</v>
      </c>
      <c r="M34" s="42"/>
      <c r="O34" s="51">
        <v>41250000</v>
      </c>
      <c r="P34" s="36">
        <f t="shared" si="0"/>
        <v>130542000</v>
      </c>
    </row>
    <row r="35" spans="1:16" ht="21" x14ac:dyDescent="0.2">
      <c r="A35" s="45"/>
      <c r="B35" s="122" t="s">
        <v>66</v>
      </c>
      <c r="C35" s="47" t="s">
        <v>67</v>
      </c>
      <c r="D35" s="60">
        <v>470940000</v>
      </c>
      <c r="E35" s="34">
        <f>D35/D29*100</f>
        <v>19.777937281336179</v>
      </c>
      <c r="F35" s="34">
        <v>100</v>
      </c>
      <c r="G35" s="34">
        <f t="shared" si="5"/>
        <v>19.853631460483289</v>
      </c>
      <c r="H35" s="34">
        <f t="shared" si="4"/>
        <v>3.9266387783220131</v>
      </c>
      <c r="I35" s="48">
        <f>41960000+43917150+7621542</f>
        <v>93498692</v>
      </c>
      <c r="J35" s="41">
        <f t="shared" si="6"/>
        <v>19.853631460483289</v>
      </c>
      <c r="K35" s="49">
        <f t="shared" si="7"/>
        <v>377441308</v>
      </c>
      <c r="L35" s="34">
        <f t="shared" si="8"/>
        <v>80.146368539516715</v>
      </c>
      <c r="M35" s="42"/>
      <c r="O35" s="51">
        <v>164604727</v>
      </c>
      <c r="P35" s="36">
        <f t="shared" si="0"/>
        <v>-71106035</v>
      </c>
    </row>
    <row r="36" spans="1:16" ht="21" x14ac:dyDescent="0.2">
      <c r="A36" s="45"/>
      <c r="B36" s="46" t="s">
        <v>68</v>
      </c>
      <c r="C36" s="47" t="s">
        <v>69</v>
      </c>
      <c r="D36" s="60">
        <v>52000000</v>
      </c>
      <c r="E36" s="34">
        <f>D36/D29*100</f>
        <v>2.1838296569191011</v>
      </c>
      <c r="F36" s="34">
        <v>100</v>
      </c>
      <c r="G36" s="34">
        <f t="shared" si="5"/>
        <v>35.57692307692308</v>
      </c>
      <c r="H36" s="34">
        <f t="shared" si="4"/>
        <v>0.77693939717314175</v>
      </c>
      <c r="I36" s="59">
        <f>8000000+10500000</f>
        <v>18500000</v>
      </c>
      <c r="J36" s="41">
        <f t="shared" si="6"/>
        <v>35.57692307692308</v>
      </c>
      <c r="K36" s="49">
        <f t="shared" si="7"/>
        <v>33500000</v>
      </c>
      <c r="L36" s="34">
        <f t="shared" si="8"/>
        <v>64.423076923076934</v>
      </c>
      <c r="M36" s="42"/>
      <c r="O36" s="51">
        <v>5500000</v>
      </c>
      <c r="P36" s="36">
        <f t="shared" si="0"/>
        <v>13000000</v>
      </c>
    </row>
    <row r="37" spans="1:16" ht="21" x14ac:dyDescent="0.2">
      <c r="A37" s="45"/>
      <c r="B37" s="46" t="s">
        <v>70</v>
      </c>
      <c r="C37" s="47" t="s">
        <v>71</v>
      </c>
      <c r="D37" s="60">
        <v>176790000</v>
      </c>
      <c r="E37" s="34">
        <f>D37/D29*100</f>
        <v>7.4246008662832281</v>
      </c>
      <c r="F37" s="34">
        <v>100</v>
      </c>
      <c r="G37" s="34">
        <f t="shared" si="5"/>
        <v>0</v>
      </c>
      <c r="H37" s="34">
        <f t="shared" si="4"/>
        <v>0</v>
      </c>
      <c r="I37" s="59">
        <v>0</v>
      </c>
      <c r="J37" s="41">
        <f t="shared" si="6"/>
        <v>0</v>
      </c>
      <c r="K37" s="49">
        <f t="shared" si="7"/>
        <v>176790000</v>
      </c>
      <c r="L37" s="34">
        <f t="shared" si="8"/>
        <v>100</v>
      </c>
      <c r="M37" s="42"/>
      <c r="O37" s="51">
        <v>44189500</v>
      </c>
      <c r="P37" s="36">
        <f t="shared" si="0"/>
        <v>-44189500</v>
      </c>
    </row>
    <row r="38" spans="1:16" x14ac:dyDescent="0.2">
      <c r="A38" s="45"/>
      <c r="B38" s="46"/>
      <c r="C38" s="47"/>
      <c r="D38" s="60"/>
      <c r="E38" s="34"/>
      <c r="F38" s="34"/>
      <c r="G38" s="34"/>
      <c r="H38" s="34"/>
      <c r="I38" s="64"/>
      <c r="J38" s="41"/>
      <c r="K38" s="49"/>
      <c r="L38" s="34"/>
      <c r="M38" s="42"/>
      <c r="O38" s="51"/>
      <c r="P38" s="36">
        <f t="shared" si="0"/>
        <v>0</v>
      </c>
    </row>
    <row r="39" spans="1:16" ht="21" x14ac:dyDescent="0.2">
      <c r="A39" s="25" t="s">
        <v>72</v>
      </c>
      <c r="B39" s="37" t="s">
        <v>73</v>
      </c>
      <c r="C39" s="38" t="s">
        <v>74</v>
      </c>
      <c r="D39" s="65">
        <f>SUM(D40:D41)</f>
        <v>203140000</v>
      </c>
      <c r="E39" s="29">
        <f>D39/D16*100</f>
        <v>1.1920691190828534</v>
      </c>
      <c r="F39" s="29">
        <v>100</v>
      </c>
      <c r="G39" s="34">
        <f t="shared" si="5"/>
        <v>0</v>
      </c>
      <c r="H39" s="34">
        <f t="shared" si="4"/>
        <v>0</v>
      </c>
      <c r="I39" s="100">
        <v>0</v>
      </c>
      <c r="J39" s="32">
        <v>0</v>
      </c>
      <c r="K39" s="33">
        <f>D39-I39</f>
        <v>203140000</v>
      </c>
      <c r="L39" s="34">
        <f>K39/D39*100</f>
        <v>100</v>
      </c>
      <c r="M39" s="42"/>
      <c r="O39" s="51"/>
      <c r="P39" s="36"/>
    </row>
    <row r="40" spans="1:16" ht="21" x14ac:dyDescent="0.2">
      <c r="A40" s="45"/>
      <c r="B40" s="46" t="s">
        <v>75</v>
      </c>
      <c r="C40" s="47" t="s">
        <v>76</v>
      </c>
      <c r="D40" s="60">
        <v>126140000</v>
      </c>
      <c r="E40" s="34">
        <f>D40/D39*100</f>
        <v>62.095106822880773</v>
      </c>
      <c r="F40" s="34">
        <v>100</v>
      </c>
      <c r="G40" s="34">
        <f t="shared" si="5"/>
        <v>0</v>
      </c>
      <c r="H40" s="34">
        <f t="shared" si="4"/>
        <v>0</v>
      </c>
      <c r="I40" s="59">
        <v>0</v>
      </c>
      <c r="J40" s="41">
        <f>I40/D40*100</f>
        <v>0</v>
      </c>
      <c r="K40" s="49">
        <f>D40-I40</f>
        <v>126140000</v>
      </c>
      <c r="L40" s="34">
        <f>K40/D40*100</f>
        <v>100</v>
      </c>
      <c r="M40" s="42"/>
      <c r="O40" s="51"/>
      <c r="P40" s="36"/>
    </row>
    <row r="41" spans="1:16" ht="21" x14ac:dyDescent="0.2">
      <c r="A41" s="45"/>
      <c r="B41" s="46" t="s">
        <v>77</v>
      </c>
      <c r="C41" s="47" t="s">
        <v>78</v>
      </c>
      <c r="D41" s="60">
        <v>77000000</v>
      </c>
      <c r="E41" s="34">
        <f>E40</f>
        <v>62.095106822880773</v>
      </c>
      <c r="F41" s="34">
        <v>100</v>
      </c>
      <c r="G41" s="34">
        <f t="shared" si="5"/>
        <v>0</v>
      </c>
      <c r="H41" s="34">
        <f t="shared" si="4"/>
        <v>0</v>
      </c>
      <c r="I41" s="59">
        <v>0</v>
      </c>
      <c r="J41" s="41">
        <f>I41/D41*100</f>
        <v>0</v>
      </c>
      <c r="K41" s="49">
        <f>D41-I41</f>
        <v>77000000</v>
      </c>
      <c r="L41" s="34">
        <f>K41/D41*100</f>
        <v>100</v>
      </c>
      <c r="M41" s="42"/>
      <c r="O41" s="51"/>
      <c r="P41" s="36"/>
    </row>
    <row r="42" spans="1:16" x14ac:dyDescent="0.2">
      <c r="A42" s="45"/>
      <c r="B42" s="46"/>
      <c r="C42" s="47"/>
      <c r="D42" s="60"/>
      <c r="E42" s="34"/>
      <c r="F42" s="34"/>
      <c r="G42" s="34"/>
      <c r="H42" s="34"/>
      <c r="I42" s="59"/>
      <c r="J42" s="41"/>
      <c r="K42" s="49"/>
      <c r="L42" s="34"/>
      <c r="M42" s="42"/>
      <c r="O42" s="51"/>
      <c r="P42" s="36"/>
    </row>
    <row r="43" spans="1:16" ht="31.5" x14ac:dyDescent="0.2">
      <c r="A43" s="25" t="s">
        <v>79</v>
      </c>
      <c r="B43" s="26" t="s">
        <v>80</v>
      </c>
      <c r="C43" s="27" t="str">
        <f>[1]April!$C$184</f>
        <v>Program Peningkatan Kapasitas Sumber Daya Aparatur</v>
      </c>
      <c r="D43" s="28">
        <f>D44</f>
        <v>293420000</v>
      </c>
      <c r="E43" s="29">
        <f>D43/D16*100</f>
        <v>1.7218515354991182</v>
      </c>
      <c r="F43" s="29">
        <f>AVERAGE(F44)</f>
        <v>100</v>
      </c>
      <c r="G43" s="34">
        <f t="shared" si="5"/>
        <v>4.0090954945129846</v>
      </c>
      <c r="H43" s="34">
        <f t="shared" si="4"/>
        <v>6.9030672331897802E-2</v>
      </c>
      <c r="I43" s="100">
        <f>I44</f>
        <v>11763488</v>
      </c>
      <c r="J43" s="32">
        <f>I43/D43*100</f>
        <v>4.0090954945129846</v>
      </c>
      <c r="K43" s="33">
        <f>D43-I43</f>
        <v>281656512</v>
      </c>
      <c r="L43" s="34">
        <f>K43/D43*100</f>
        <v>95.990904505487023</v>
      </c>
      <c r="M43" s="35"/>
      <c r="O43" s="31">
        <v>181250000</v>
      </c>
      <c r="P43" s="36">
        <f t="shared" si="0"/>
        <v>-169486512</v>
      </c>
    </row>
    <row r="44" spans="1:16" ht="21" x14ac:dyDescent="0.2">
      <c r="A44" s="45"/>
      <c r="B44" s="122" t="s">
        <v>81</v>
      </c>
      <c r="C44" s="47" t="str">
        <f>[1]April!$C$185</f>
        <v>Peningkatan Kemampuan Teknis Aparatur</v>
      </c>
      <c r="D44" s="60">
        <v>293420000</v>
      </c>
      <c r="E44" s="34">
        <v>100</v>
      </c>
      <c r="F44" s="34">
        <v>100</v>
      </c>
      <c r="G44" s="34">
        <f t="shared" si="5"/>
        <v>4.0090954945129846</v>
      </c>
      <c r="H44" s="34">
        <f t="shared" si="4"/>
        <v>4.0090954945129846</v>
      </c>
      <c r="I44" s="48">
        <f>11763488</f>
        <v>11763488</v>
      </c>
      <c r="J44" s="41">
        <f>I44/D44*100</f>
        <v>4.0090954945129846</v>
      </c>
      <c r="K44" s="49">
        <f>D44-I44</f>
        <v>281656512</v>
      </c>
      <c r="L44" s="34">
        <f>K44/D44*100</f>
        <v>95.990904505487023</v>
      </c>
      <c r="M44" s="42"/>
      <c r="O44" s="51">
        <v>181250000</v>
      </c>
      <c r="P44" s="36">
        <f t="shared" si="0"/>
        <v>-169486512</v>
      </c>
    </row>
    <row r="45" spans="1:16" x14ac:dyDescent="0.2">
      <c r="A45" s="45"/>
      <c r="B45" s="46"/>
      <c r="C45" s="47"/>
      <c r="D45" s="60"/>
      <c r="E45" s="34"/>
      <c r="F45" s="34"/>
      <c r="G45" s="34"/>
      <c r="H45" s="34"/>
      <c r="I45" s="59"/>
      <c r="J45" s="41"/>
      <c r="K45" s="49"/>
      <c r="L45" s="34"/>
      <c r="M45" s="42"/>
      <c r="O45" s="51"/>
      <c r="P45" s="36">
        <f t="shared" si="0"/>
        <v>0</v>
      </c>
    </row>
    <row r="46" spans="1:16" ht="42" x14ac:dyDescent="0.2">
      <c r="A46" s="25" t="s">
        <v>82</v>
      </c>
      <c r="B46" s="26" t="s">
        <v>83</v>
      </c>
      <c r="C46" s="27" t="str">
        <f>[1]April!$C$201</f>
        <v>Program peningkatan pengembangan sistem pelaporan capaian kinerja dan keuangan</v>
      </c>
      <c r="D46" s="28">
        <f>SUM(D47:D53)</f>
        <v>1317350000</v>
      </c>
      <c r="E46" s="29">
        <f>D46/D16*100</f>
        <v>7.7304925372836317</v>
      </c>
      <c r="F46" s="29">
        <f>AVERAGE(F47:F52)</f>
        <v>100</v>
      </c>
      <c r="G46" s="34">
        <f t="shared" si="5"/>
        <v>14.246100125251452</v>
      </c>
      <c r="H46" s="34">
        <f t="shared" si="4"/>
        <v>1.1012937070365176</v>
      </c>
      <c r="I46" s="100">
        <f>SUM(I47:I53)</f>
        <v>187671000</v>
      </c>
      <c r="J46" s="32">
        <f t="shared" ref="J46:J53" si="9">I46/D46*100</f>
        <v>14.246100125251452</v>
      </c>
      <c r="K46" s="33">
        <f t="shared" ref="K46:K53" si="10">D46-I46</f>
        <v>1129679000</v>
      </c>
      <c r="L46" s="34">
        <f t="shared" ref="L46:L53" si="11">K46/D46*100</f>
        <v>85.753899874748555</v>
      </c>
      <c r="M46" s="35"/>
      <c r="O46" s="31">
        <v>367965100</v>
      </c>
      <c r="P46" s="36">
        <f t="shared" si="0"/>
        <v>-180294100</v>
      </c>
    </row>
    <row r="47" spans="1:16" ht="31.5" x14ac:dyDescent="0.2">
      <c r="A47" s="45"/>
      <c r="B47" s="46" t="s">
        <v>84</v>
      </c>
      <c r="C47" s="47" t="str">
        <f>[1]April!$C$202</f>
        <v>Penyusunan laporan capaian kinerja dan ikhtisar realisasi kinerja SKPD</v>
      </c>
      <c r="D47" s="60">
        <v>85000000</v>
      </c>
      <c r="E47" s="34">
        <f>D47/D46*100</f>
        <v>6.4523475158462062</v>
      </c>
      <c r="F47" s="34">
        <v>100</v>
      </c>
      <c r="G47" s="34">
        <f t="shared" si="5"/>
        <v>43.083529411764701</v>
      </c>
      <c r="H47" s="34">
        <f t="shared" si="4"/>
        <v>2.7798990397388694</v>
      </c>
      <c r="I47" s="59">
        <f>20000000+(11571000+5050000)</f>
        <v>36621000</v>
      </c>
      <c r="J47" s="41">
        <f t="shared" si="9"/>
        <v>43.083529411764701</v>
      </c>
      <c r="K47" s="49">
        <f t="shared" si="10"/>
        <v>48379000</v>
      </c>
      <c r="L47" s="34">
        <f t="shared" si="11"/>
        <v>56.916470588235292</v>
      </c>
      <c r="M47" s="42"/>
      <c r="O47" s="51">
        <v>68257500</v>
      </c>
      <c r="P47" s="36">
        <f t="shared" si="0"/>
        <v>-31636500</v>
      </c>
    </row>
    <row r="48" spans="1:16" ht="21" x14ac:dyDescent="0.2">
      <c r="A48" s="25"/>
      <c r="B48" s="46" t="s">
        <v>85</v>
      </c>
      <c r="C48" s="47" t="str">
        <f>[1]April!$C$213</f>
        <v>Penyusunan pelaporan keuangan semesteran</v>
      </c>
      <c r="D48" s="60">
        <v>33600000</v>
      </c>
      <c r="E48" s="34">
        <f>D48/D46*100</f>
        <v>2.550575018028618</v>
      </c>
      <c r="F48" s="34">
        <v>100</v>
      </c>
      <c r="G48" s="34">
        <f t="shared" si="5"/>
        <v>0</v>
      </c>
      <c r="H48" s="34">
        <f t="shared" si="4"/>
        <v>0</v>
      </c>
      <c r="I48" s="59">
        <v>0</v>
      </c>
      <c r="J48" s="41">
        <f t="shared" si="9"/>
        <v>0</v>
      </c>
      <c r="K48" s="49">
        <f t="shared" si="10"/>
        <v>33600000</v>
      </c>
      <c r="L48" s="34">
        <f t="shared" si="11"/>
        <v>100</v>
      </c>
      <c r="M48" s="42"/>
      <c r="O48" s="51">
        <v>9057850</v>
      </c>
      <c r="P48" s="36">
        <f t="shared" si="0"/>
        <v>-9057850</v>
      </c>
    </row>
    <row r="49" spans="1:16" ht="21" x14ac:dyDescent="0.2">
      <c r="A49" s="45"/>
      <c r="B49" s="46" t="s">
        <v>86</v>
      </c>
      <c r="C49" s="47" t="str">
        <f>[1]April!$C$231</f>
        <v>penyusunan pelaporan keuangan akhir tahun</v>
      </c>
      <c r="D49" s="60">
        <v>20000000</v>
      </c>
      <c r="E49" s="34">
        <f>D49/D46*100</f>
        <v>1.518199415493225</v>
      </c>
      <c r="F49" s="34">
        <v>100</v>
      </c>
      <c r="G49" s="34">
        <f t="shared" si="5"/>
        <v>0</v>
      </c>
      <c r="H49" s="34">
        <f t="shared" si="4"/>
        <v>0</v>
      </c>
      <c r="I49" s="59">
        <v>0</v>
      </c>
      <c r="J49" s="41">
        <f t="shared" si="9"/>
        <v>0</v>
      </c>
      <c r="K49" s="49">
        <f t="shared" si="10"/>
        <v>20000000</v>
      </c>
      <c r="L49" s="34">
        <f t="shared" si="11"/>
        <v>100</v>
      </c>
      <c r="M49" s="42"/>
      <c r="O49" s="51">
        <v>10986750</v>
      </c>
      <c r="P49" s="36">
        <f t="shared" si="0"/>
        <v>-10986750</v>
      </c>
    </row>
    <row r="50" spans="1:16" ht="21" x14ac:dyDescent="0.2">
      <c r="A50" s="45"/>
      <c r="B50" s="46" t="s">
        <v>87</v>
      </c>
      <c r="C50" s="47" t="str">
        <f>[1]April!$C$249</f>
        <v>Penyusunan Rencana Kerja dan Anggaran SKPD</v>
      </c>
      <c r="D50" s="60">
        <v>35000000</v>
      </c>
      <c r="E50" s="34">
        <f>D50/D46*100</f>
        <v>2.6568489771131438</v>
      </c>
      <c r="F50" s="34">
        <v>100</v>
      </c>
      <c r="G50" s="34">
        <f t="shared" si="5"/>
        <v>37.857142857142854</v>
      </c>
      <c r="H50" s="34">
        <f t="shared" si="4"/>
        <v>1.0058071127642616</v>
      </c>
      <c r="I50" s="59">
        <v>13250000</v>
      </c>
      <c r="J50" s="41">
        <f t="shared" si="9"/>
        <v>37.857142857142854</v>
      </c>
      <c r="K50" s="49">
        <f t="shared" si="10"/>
        <v>21750000</v>
      </c>
      <c r="L50" s="34">
        <f t="shared" si="11"/>
        <v>62.142857142857146</v>
      </c>
      <c r="M50" s="42"/>
      <c r="O50" s="51">
        <v>178186000</v>
      </c>
      <c r="P50" s="36">
        <f t="shared" si="0"/>
        <v>-164936000</v>
      </c>
    </row>
    <row r="51" spans="1:16" ht="31.5" x14ac:dyDescent="0.2">
      <c r="A51" s="45"/>
      <c r="B51" s="46" t="s">
        <v>88</v>
      </c>
      <c r="C51" s="66" t="str">
        <f>[1]April!$C$266</f>
        <v>Penyediaan Data, Dokumentasi, Informatika dan Komunikasi SKPD</v>
      </c>
      <c r="D51" s="60">
        <v>1010000000</v>
      </c>
      <c r="E51" s="34">
        <f>D51/D46*100</f>
        <v>76.669070482407861</v>
      </c>
      <c r="F51" s="34">
        <v>100</v>
      </c>
      <c r="G51" s="34">
        <f t="shared" si="5"/>
        <v>8.425742574257427</v>
      </c>
      <c r="H51" s="34">
        <f t="shared" si="4"/>
        <v>6.4599385129236735</v>
      </c>
      <c r="I51" s="59">
        <f>35000000+50100000</f>
        <v>85100000</v>
      </c>
      <c r="J51" s="41">
        <f t="shared" si="9"/>
        <v>8.425742574257427</v>
      </c>
      <c r="K51" s="49">
        <f t="shared" si="10"/>
        <v>924900000</v>
      </c>
      <c r="L51" s="34">
        <f t="shared" si="11"/>
        <v>91.574257425742573</v>
      </c>
      <c r="M51" s="42"/>
      <c r="O51" s="51">
        <v>68048000</v>
      </c>
      <c r="P51" s="36">
        <f t="shared" si="0"/>
        <v>17052000</v>
      </c>
    </row>
    <row r="52" spans="1:16" ht="21" x14ac:dyDescent="0.2">
      <c r="A52" s="45"/>
      <c r="B52" s="46" t="s">
        <v>89</v>
      </c>
      <c r="C52" s="47" t="s">
        <v>90</v>
      </c>
      <c r="D52" s="60">
        <v>50000000</v>
      </c>
      <c r="E52" s="34">
        <f>D52/D46*100</f>
        <v>3.7954985387330624</v>
      </c>
      <c r="F52" s="34">
        <v>100</v>
      </c>
      <c r="G52" s="34">
        <f t="shared" si="5"/>
        <v>0</v>
      </c>
      <c r="H52" s="34">
        <f t="shared" si="4"/>
        <v>0</v>
      </c>
      <c r="I52" s="59">
        <v>0</v>
      </c>
      <c r="J52" s="41">
        <f t="shared" si="9"/>
        <v>0</v>
      </c>
      <c r="K52" s="49">
        <f t="shared" si="10"/>
        <v>50000000</v>
      </c>
      <c r="L52" s="34">
        <f t="shared" si="11"/>
        <v>100</v>
      </c>
      <c r="M52" s="42"/>
      <c r="O52" s="51">
        <v>23179000</v>
      </c>
      <c r="P52" s="36">
        <f t="shared" si="0"/>
        <v>-23179000</v>
      </c>
    </row>
    <row r="53" spans="1:16" ht="21" x14ac:dyDescent="0.2">
      <c r="A53" s="45"/>
      <c r="B53" s="46" t="s">
        <v>91</v>
      </c>
      <c r="C53" s="47" t="s">
        <v>92</v>
      </c>
      <c r="D53" s="60">
        <v>83750000</v>
      </c>
      <c r="E53" s="34">
        <f>D53/D47*100</f>
        <v>98.529411764705884</v>
      </c>
      <c r="F53" s="34">
        <v>100</v>
      </c>
      <c r="G53" s="34">
        <f t="shared" si="5"/>
        <v>62.925373134328353</v>
      </c>
      <c r="H53" s="34">
        <f t="shared" si="4"/>
        <v>62</v>
      </c>
      <c r="I53" s="59">
        <v>52700000</v>
      </c>
      <c r="J53" s="41">
        <f t="shared" si="9"/>
        <v>62.925373134328353</v>
      </c>
      <c r="K53" s="49">
        <f t="shared" si="10"/>
        <v>31050000</v>
      </c>
      <c r="L53" s="34">
        <f t="shared" si="11"/>
        <v>37.07462686567164</v>
      </c>
      <c r="M53" s="42"/>
      <c r="O53" s="51"/>
      <c r="P53" s="36"/>
    </row>
    <row r="54" spans="1:16" x14ac:dyDescent="0.2">
      <c r="A54" s="25"/>
      <c r="B54" s="26"/>
      <c r="C54" s="67"/>
      <c r="D54" s="68"/>
      <c r="E54" s="34"/>
      <c r="F54" s="34"/>
      <c r="G54" s="34"/>
      <c r="H54" s="34"/>
      <c r="I54" s="59"/>
      <c r="J54" s="41"/>
      <c r="K54" s="49"/>
      <c r="L54" s="34"/>
      <c r="M54" s="42"/>
      <c r="O54" s="51"/>
      <c r="P54" s="36">
        <f t="shared" si="0"/>
        <v>0</v>
      </c>
    </row>
    <row r="55" spans="1:16" ht="21" x14ac:dyDescent="0.2">
      <c r="A55" s="25" t="s">
        <v>93</v>
      </c>
      <c r="B55" s="26" t="s">
        <v>94</v>
      </c>
      <c r="C55" s="27" t="str">
        <f>[1]April!$C$298</f>
        <v>Program pengembangan data/informasi</v>
      </c>
      <c r="D55" s="28">
        <f>SUM(D56:D59)</f>
        <v>1231800000</v>
      </c>
      <c r="E55" s="29">
        <f>D55/D16*100</f>
        <v>7.2284667760473518</v>
      </c>
      <c r="F55" s="29">
        <f>AVERAGE(F58:F60)</f>
        <v>100</v>
      </c>
      <c r="G55" s="34">
        <f t="shared" si="5"/>
        <v>6.5752557233317095</v>
      </c>
      <c r="H55" s="34">
        <f t="shared" si="4"/>
        <v>0.47529017540118462</v>
      </c>
      <c r="I55" s="100">
        <f>SUM(I56:I59)</f>
        <v>80994000</v>
      </c>
      <c r="J55" s="32">
        <f>I55/D55*100</f>
        <v>6.5752557233317095</v>
      </c>
      <c r="K55" s="33">
        <f>D55-I55</f>
        <v>1150806000</v>
      </c>
      <c r="L55" s="34">
        <f>K55/D55*100</f>
        <v>93.424744276668292</v>
      </c>
      <c r="M55" s="35"/>
      <c r="O55" s="31">
        <v>1027715002</v>
      </c>
      <c r="P55" s="36">
        <f t="shared" si="0"/>
        <v>-946721002</v>
      </c>
    </row>
    <row r="56" spans="1:16" ht="42" x14ac:dyDescent="0.2">
      <c r="A56" s="25"/>
      <c r="B56" s="46" t="s">
        <v>95</v>
      </c>
      <c r="C56" s="47" t="s">
        <v>96</v>
      </c>
      <c r="D56" s="39">
        <v>300000000</v>
      </c>
      <c r="E56" s="34">
        <f>D56/D55*100</f>
        <v>24.354603019970774</v>
      </c>
      <c r="F56" s="34">
        <v>100</v>
      </c>
      <c r="G56" s="34">
        <f t="shared" si="5"/>
        <v>8.7480000000000011</v>
      </c>
      <c r="H56" s="34">
        <f t="shared" si="4"/>
        <v>2.1305406721870437</v>
      </c>
      <c r="I56" s="59">
        <v>26244000</v>
      </c>
      <c r="J56" s="41">
        <f>I56/D56*100</f>
        <v>8.7480000000000011</v>
      </c>
      <c r="K56" s="49">
        <f>D56-I56</f>
        <v>273756000</v>
      </c>
      <c r="L56" s="34">
        <f>K56/D56*100</f>
        <v>91.251999999999995</v>
      </c>
      <c r="M56" s="35"/>
      <c r="O56" s="31"/>
      <c r="P56" s="36"/>
    </row>
    <row r="57" spans="1:16" ht="42" x14ac:dyDescent="0.2">
      <c r="A57" s="25"/>
      <c r="B57" s="46" t="s">
        <v>97</v>
      </c>
      <c r="C57" s="47" t="s">
        <v>98</v>
      </c>
      <c r="D57" s="39">
        <v>521800000</v>
      </c>
      <c r="E57" s="34">
        <f>D57/D55*100</f>
        <v>42.360772852735835</v>
      </c>
      <c r="F57" s="34">
        <v>100</v>
      </c>
      <c r="G57" s="34">
        <f t="shared" si="5"/>
        <v>2.443464929091606</v>
      </c>
      <c r="H57" s="34">
        <f t="shared" si="4"/>
        <v>1.0350706283487581</v>
      </c>
      <c r="I57" s="59">
        <v>12750000</v>
      </c>
      <c r="J57" s="41">
        <f>I57/D57*100</f>
        <v>2.443464929091606</v>
      </c>
      <c r="K57" s="49">
        <f>D57-I57</f>
        <v>509050000</v>
      </c>
      <c r="L57" s="34">
        <f>K57/D57*100</f>
        <v>97.556535070908396</v>
      </c>
      <c r="M57" s="35"/>
      <c r="O57" s="31"/>
      <c r="P57" s="36"/>
    </row>
    <row r="58" spans="1:16" ht="31.5" x14ac:dyDescent="0.2">
      <c r="A58" s="45"/>
      <c r="B58" s="46" t="s">
        <v>99</v>
      </c>
      <c r="C58" s="47" t="str">
        <f>[1]April!$C$320</f>
        <v>Penyusunan dan anlisis data/informasi perencanaan pembangunan ekonomi</v>
      </c>
      <c r="D58" s="60">
        <v>210000000</v>
      </c>
      <c r="E58" s="34">
        <f>D58/D55*100</f>
        <v>17.048222113979541</v>
      </c>
      <c r="F58" s="34">
        <v>100</v>
      </c>
      <c r="G58" s="34">
        <f t="shared" si="5"/>
        <v>3.3333333333333335</v>
      </c>
      <c r="H58" s="34">
        <f t="shared" si="4"/>
        <v>0.56827407046598477</v>
      </c>
      <c r="I58" s="59">
        <f>1000000+6000000</f>
        <v>7000000</v>
      </c>
      <c r="J58" s="41">
        <f>I58/D58*100</f>
        <v>3.3333333333333335</v>
      </c>
      <c r="K58" s="49">
        <f>D58-I58</f>
        <v>203000000</v>
      </c>
      <c r="L58" s="34">
        <f>K58/D58*100</f>
        <v>96.666666666666671</v>
      </c>
      <c r="M58" s="42"/>
      <c r="O58" s="51">
        <v>252795000</v>
      </c>
      <c r="P58" s="36">
        <f t="shared" si="0"/>
        <v>-245795000</v>
      </c>
    </row>
    <row r="59" spans="1:16" x14ac:dyDescent="0.2">
      <c r="A59" s="45"/>
      <c r="B59" s="46" t="s">
        <v>100</v>
      </c>
      <c r="C59" s="47" t="str">
        <f>[1]April!$C$337</f>
        <v>Penyusunan profile daerah</v>
      </c>
      <c r="D59" s="60">
        <v>200000000</v>
      </c>
      <c r="E59" s="34">
        <f>D59/D55*100</f>
        <v>16.23640201331385</v>
      </c>
      <c r="F59" s="34">
        <v>100</v>
      </c>
      <c r="G59" s="34">
        <f t="shared" si="5"/>
        <v>17.5</v>
      </c>
      <c r="H59" s="34">
        <f t="shared" si="4"/>
        <v>2.8413703523299239</v>
      </c>
      <c r="I59" s="48">
        <v>35000000</v>
      </c>
      <c r="J59" s="41">
        <f>I59/D59*100</f>
        <v>17.5</v>
      </c>
      <c r="K59" s="49">
        <f>D59-I59</f>
        <v>165000000</v>
      </c>
      <c r="L59" s="34">
        <f>K59/D59*100</f>
        <v>82.5</v>
      </c>
      <c r="M59" s="42"/>
      <c r="O59" s="51">
        <v>362347000</v>
      </c>
      <c r="P59" s="36">
        <f t="shared" si="0"/>
        <v>-327347000</v>
      </c>
    </row>
    <row r="60" spans="1:16" x14ac:dyDescent="0.2">
      <c r="A60" s="45"/>
      <c r="B60" s="46"/>
      <c r="C60" s="47"/>
      <c r="D60" s="69"/>
      <c r="E60" s="34"/>
      <c r="F60" s="34"/>
      <c r="G60" s="34"/>
      <c r="H60" s="34"/>
      <c r="I60" s="59"/>
      <c r="J60" s="41"/>
      <c r="K60" s="49"/>
      <c r="L60" s="34"/>
      <c r="M60" s="42"/>
      <c r="O60" s="51"/>
      <c r="P60" s="36">
        <f t="shared" si="0"/>
        <v>0</v>
      </c>
    </row>
    <row r="61" spans="1:16" ht="21" x14ac:dyDescent="0.2">
      <c r="A61" s="25" t="s">
        <v>101</v>
      </c>
      <c r="B61" s="26" t="s">
        <v>102</v>
      </c>
      <c r="C61" s="27" t="str">
        <f>[2]Sheet1!$I$55</f>
        <v>Program Kerjasama Pembangunan</v>
      </c>
      <c r="D61" s="28">
        <f>D62</f>
        <v>450000000</v>
      </c>
      <c r="E61" s="29">
        <f>D61/D16*100</f>
        <v>2.6406965816052184</v>
      </c>
      <c r="F61" s="29">
        <f>AVERAGE(F62)</f>
        <v>100</v>
      </c>
      <c r="G61" s="34">
        <f t="shared" si="5"/>
        <v>11.088444444444443</v>
      </c>
      <c r="H61" s="34">
        <f t="shared" si="4"/>
        <v>0.29281217339763815</v>
      </c>
      <c r="I61" s="100">
        <f>I62</f>
        <v>49898000</v>
      </c>
      <c r="J61" s="32">
        <f>I61/D61*100</f>
        <v>11.088444444444443</v>
      </c>
      <c r="K61" s="33">
        <f>D61-I61</f>
        <v>400102000</v>
      </c>
      <c r="L61" s="34">
        <f>K61/D61*100</f>
        <v>88.911555555555552</v>
      </c>
      <c r="M61" s="35"/>
      <c r="O61" s="31">
        <v>633632330</v>
      </c>
      <c r="P61" s="36">
        <f t="shared" si="0"/>
        <v>-583734330</v>
      </c>
    </row>
    <row r="62" spans="1:16" ht="21" x14ac:dyDescent="0.2">
      <c r="A62" s="45"/>
      <c r="B62" s="46" t="s">
        <v>103</v>
      </c>
      <c r="C62" s="47" t="str">
        <f>[2]Sheet1!$I$56</f>
        <v>Koordinasi dalam pemecahan masalah-masalah daerah</v>
      </c>
      <c r="D62" s="69">
        <v>450000000</v>
      </c>
      <c r="E62" s="34">
        <v>100</v>
      </c>
      <c r="F62" s="34">
        <v>100</v>
      </c>
      <c r="G62" s="34">
        <f t="shared" si="5"/>
        <v>11.088444444444443</v>
      </c>
      <c r="H62" s="34">
        <f t="shared" si="4"/>
        <v>11.088444444444441</v>
      </c>
      <c r="I62" s="59">
        <f>16250000+33648000</f>
        <v>49898000</v>
      </c>
      <c r="J62" s="41">
        <f>I62/D62*100</f>
        <v>11.088444444444443</v>
      </c>
      <c r="K62" s="49">
        <f>D62-I62</f>
        <v>400102000</v>
      </c>
      <c r="L62" s="34">
        <f>K62/D62*100</f>
        <v>88.911555555555552</v>
      </c>
      <c r="M62" s="63"/>
      <c r="O62" s="51">
        <v>633632330</v>
      </c>
      <c r="P62" s="36">
        <f>I62-O62</f>
        <v>-583734330</v>
      </c>
    </row>
    <row r="63" spans="1:16" x14ac:dyDescent="0.2">
      <c r="A63" s="45"/>
      <c r="B63" s="46"/>
      <c r="C63" s="47"/>
      <c r="D63" s="69"/>
      <c r="E63" s="34"/>
      <c r="F63" s="34"/>
      <c r="G63" s="34"/>
      <c r="H63" s="34"/>
      <c r="I63" s="59"/>
      <c r="J63" s="41"/>
      <c r="K63" s="49"/>
      <c r="L63" s="34"/>
      <c r="M63" s="63"/>
      <c r="O63" s="51"/>
      <c r="P63" s="36"/>
    </row>
    <row r="64" spans="1:16" ht="20.100000000000001" hidden="1" x14ac:dyDescent="0.25">
      <c r="A64" s="43" t="s">
        <v>104</v>
      </c>
      <c r="B64" s="37" t="s">
        <v>105</v>
      </c>
      <c r="C64" s="38" t="s">
        <v>106</v>
      </c>
      <c r="D64" s="70">
        <f>SUM(D65:D66)</f>
        <v>464365100</v>
      </c>
      <c r="E64" s="29">
        <f>D64/D16*100</f>
        <v>2.7249940715261451</v>
      </c>
      <c r="F64" s="29">
        <v>100</v>
      </c>
      <c r="G64" s="34">
        <f t="shared" si="5"/>
        <v>0</v>
      </c>
      <c r="H64" s="34">
        <f t="shared" si="4"/>
        <v>0</v>
      </c>
      <c r="I64" s="59">
        <v>0</v>
      </c>
      <c r="J64" s="41">
        <v>0</v>
      </c>
      <c r="K64" s="49">
        <f t="shared" ref="K64:K69" si="12">D64-I64</f>
        <v>464365100</v>
      </c>
      <c r="L64" s="34">
        <f t="shared" ref="L64:L69" si="13">K64/D64*100</f>
        <v>100</v>
      </c>
      <c r="M64" s="63"/>
      <c r="O64" s="51"/>
      <c r="P64" s="36"/>
    </row>
    <row r="65" spans="1:16" ht="20.100000000000001" hidden="1" x14ac:dyDescent="0.25">
      <c r="A65" s="45"/>
      <c r="B65" s="46" t="s">
        <v>107</v>
      </c>
      <c r="C65" s="47" t="s">
        <v>108</v>
      </c>
      <c r="D65" s="69">
        <v>139365100</v>
      </c>
      <c r="E65" s="34">
        <f>D65/D64*100</f>
        <v>30.011966876925072</v>
      </c>
      <c r="F65" s="34">
        <v>100</v>
      </c>
      <c r="G65" s="34">
        <f t="shared" si="5"/>
        <v>0</v>
      </c>
      <c r="H65" s="34">
        <f t="shared" si="4"/>
        <v>0</v>
      </c>
      <c r="I65" s="59">
        <v>0</v>
      </c>
      <c r="J65" s="41">
        <v>0</v>
      </c>
      <c r="K65" s="49">
        <f t="shared" si="12"/>
        <v>139365100</v>
      </c>
      <c r="L65" s="34">
        <f t="shared" si="13"/>
        <v>100</v>
      </c>
      <c r="M65" s="63"/>
      <c r="O65" s="51"/>
      <c r="P65" s="36"/>
    </row>
    <row r="66" spans="1:16" ht="20.100000000000001" hidden="1" x14ac:dyDescent="0.25">
      <c r="A66" s="45"/>
      <c r="B66" s="46" t="s">
        <v>109</v>
      </c>
      <c r="C66" s="47" t="s">
        <v>110</v>
      </c>
      <c r="D66" s="69">
        <v>325000000</v>
      </c>
      <c r="E66" s="34">
        <f>D66/D64*100</f>
        <v>69.988033123074928</v>
      </c>
      <c r="F66" s="34">
        <v>100</v>
      </c>
      <c r="G66" s="34">
        <f t="shared" si="5"/>
        <v>0</v>
      </c>
      <c r="H66" s="34">
        <f t="shared" si="4"/>
        <v>0</v>
      </c>
      <c r="I66" s="59">
        <v>0</v>
      </c>
      <c r="J66" s="41">
        <v>0</v>
      </c>
      <c r="K66" s="49">
        <f t="shared" si="12"/>
        <v>325000000</v>
      </c>
      <c r="L66" s="34">
        <f t="shared" si="13"/>
        <v>100</v>
      </c>
      <c r="M66" s="63"/>
      <c r="O66" s="51"/>
      <c r="P66" s="36"/>
    </row>
    <row r="67" spans="1:16" ht="10.5" hidden="1" x14ac:dyDescent="0.25">
      <c r="A67" s="25"/>
      <c r="B67" s="26"/>
      <c r="C67" s="67"/>
      <c r="D67" s="71"/>
      <c r="E67" s="29"/>
      <c r="F67" s="29"/>
      <c r="G67" s="34"/>
      <c r="H67" s="34"/>
      <c r="I67" s="59"/>
      <c r="J67" s="41"/>
      <c r="K67" s="49"/>
      <c r="L67" s="34"/>
      <c r="M67" s="42"/>
      <c r="O67" s="51"/>
      <c r="P67" s="36"/>
    </row>
    <row r="68" spans="1:16" ht="42" x14ac:dyDescent="0.2">
      <c r="A68" s="25" t="s">
        <v>104</v>
      </c>
      <c r="B68" s="26" t="s">
        <v>111</v>
      </c>
      <c r="C68" s="27" t="s">
        <v>112</v>
      </c>
      <c r="D68" s="28">
        <f>D69</f>
        <v>500000000</v>
      </c>
      <c r="E68" s="29">
        <f>D68/D16*100</f>
        <v>2.9341073128946871</v>
      </c>
      <c r="F68" s="29">
        <f>AVERAGE(F69)</f>
        <v>100</v>
      </c>
      <c r="G68" s="34">
        <f t="shared" si="5"/>
        <v>0</v>
      </c>
      <c r="H68" s="34">
        <f t="shared" si="4"/>
        <v>0</v>
      </c>
      <c r="I68" s="100">
        <f>I69</f>
        <v>0</v>
      </c>
      <c r="J68" s="32">
        <f>I68/D68*100</f>
        <v>0</v>
      </c>
      <c r="K68" s="33">
        <f t="shared" si="12"/>
        <v>500000000</v>
      </c>
      <c r="L68" s="34">
        <f t="shared" si="13"/>
        <v>100</v>
      </c>
      <c r="M68" s="35"/>
      <c r="O68" s="51"/>
      <c r="P68" s="36"/>
    </row>
    <row r="69" spans="1:16" ht="31.5" x14ac:dyDescent="0.2">
      <c r="A69" s="25"/>
      <c r="B69" s="46" t="s">
        <v>113</v>
      </c>
      <c r="C69" s="47" t="s">
        <v>114</v>
      </c>
      <c r="D69" s="69">
        <v>500000000</v>
      </c>
      <c r="E69" s="34">
        <v>100</v>
      </c>
      <c r="F69" s="34">
        <v>100</v>
      </c>
      <c r="G69" s="34">
        <f t="shared" si="5"/>
        <v>0</v>
      </c>
      <c r="H69" s="34">
        <f t="shared" si="4"/>
        <v>0</v>
      </c>
      <c r="I69" s="59">
        <v>0</v>
      </c>
      <c r="J69" s="41">
        <f>I69/D69*100</f>
        <v>0</v>
      </c>
      <c r="K69" s="49">
        <f t="shared" si="12"/>
        <v>500000000</v>
      </c>
      <c r="L69" s="34">
        <f t="shared" si="13"/>
        <v>100</v>
      </c>
      <c r="M69" s="63"/>
      <c r="O69" s="51"/>
      <c r="P69" s="36"/>
    </row>
    <row r="70" spans="1:16" x14ac:dyDescent="0.2">
      <c r="A70" s="25"/>
      <c r="B70" s="26"/>
      <c r="C70" s="67"/>
      <c r="D70" s="71"/>
      <c r="E70" s="29"/>
      <c r="F70" s="29"/>
      <c r="G70" s="34"/>
      <c r="H70" s="34"/>
      <c r="I70" s="59"/>
      <c r="J70" s="41"/>
      <c r="K70" s="49"/>
      <c r="L70" s="34"/>
      <c r="M70" s="42"/>
      <c r="O70" s="51"/>
      <c r="P70" s="36"/>
    </row>
    <row r="71" spans="1:16" ht="42" x14ac:dyDescent="0.2">
      <c r="A71" s="25" t="s">
        <v>115</v>
      </c>
      <c r="B71" s="26" t="s">
        <v>116</v>
      </c>
      <c r="C71" s="27" t="s">
        <v>117</v>
      </c>
      <c r="D71" s="28">
        <f>SUM(D72:D74)</f>
        <v>1253330000</v>
      </c>
      <c r="E71" s="29">
        <f>D71/D16*100</f>
        <v>7.3548094369405961</v>
      </c>
      <c r="F71" s="29">
        <v>100</v>
      </c>
      <c r="G71" s="34">
        <f t="shared" si="5"/>
        <v>2.4640996385628684</v>
      </c>
      <c r="H71" s="34">
        <f t="shared" si="4"/>
        <v>0.18122983275264098</v>
      </c>
      <c r="I71" s="100">
        <f>SUM(I72:I74)</f>
        <v>30883300</v>
      </c>
      <c r="J71" s="32">
        <f>I71/D71*100</f>
        <v>2.4640996385628684</v>
      </c>
      <c r="K71" s="33">
        <f>D71-I71</f>
        <v>1222446700</v>
      </c>
      <c r="L71" s="34">
        <f>K71/D71*100</f>
        <v>97.535900361437129</v>
      </c>
      <c r="M71" s="35"/>
      <c r="O71" s="31">
        <v>633632330</v>
      </c>
      <c r="P71" s="36">
        <f>I71-O71</f>
        <v>-602749030</v>
      </c>
    </row>
    <row r="72" spans="1:16" ht="31.5" x14ac:dyDescent="0.2">
      <c r="A72" s="25"/>
      <c r="B72" s="46" t="s">
        <v>118</v>
      </c>
      <c r="C72" s="61" t="str">
        <f>[2]Sheet1!$I$59</f>
        <v>Koordinasi penyelesaian permasalahan transportasi perkotaan</v>
      </c>
      <c r="D72" s="59">
        <v>710130000</v>
      </c>
      <c r="E72" s="34">
        <f>D72/D71*100</f>
        <v>56.659459200689369</v>
      </c>
      <c r="F72" s="34">
        <v>100</v>
      </c>
      <c r="G72" s="34">
        <f t="shared" si="5"/>
        <v>0</v>
      </c>
      <c r="H72" s="34">
        <f t="shared" si="4"/>
        <v>0</v>
      </c>
      <c r="I72" s="59">
        <v>0</v>
      </c>
      <c r="J72" s="41">
        <f>I72/D72*100</f>
        <v>0</v>
      </c>
      <c r="K72" s="49">
        <f>D72-I72</f>
        <v>710130000</v>
      </c>
      <c r="L72" s="34">
        <f>K72/D72*100</f>
        <v>100</v>
      </c>
      <c r="M72" s="72"/>
      <c r="O72" s="51">
        <v>66755000</v>
      </c>
      <c r="P72" s="36">
        <f t="shared" si="0"/>
        <v>-66755000</v>
      </c>
    </row>
    <row r="73" spans="1:16" ht="21" x14ac:dyDescent="0.2">
      <c r="A73" s="45"/>
      <c r="B73" s="46" t="s">
        <v>119</v>
      </c>
      <c r="C73" s="47" t="str">
        <f>[2]Sheet1!$I$61</f>
        <v>Koordinasi perencanaan penanganan perumahan</v>
      </c>
      <c r="D73" s="59">
        <v>318200000</v>
      </c>
      <c r="E73" s="34">
        <f>D73/D71*100</f>
        <v>25.388365394588813</v>
      </c>
      <c r="F73" s="34">
        <v>100</v>
      </c>
      <c r="G73" s="34">
        <f t="shared" si="5"/>
        <v>5.342551854179761</v>
      </c>
      <c r="H73" s="34">
        <f t="shared" si="4"/>
        <v>1.3563865861345374</v>
      </c>
      <c r="I73" s="59">
        <v>17000000</v>
      </c>
      <c r="J73" s="41">
        <f>I73/D73*100</f>
        <v>5.342551854179761</v>
      </c>
      <c r="K73" s="49">
        <f>D73-I73</f>
        <v>301200000</v>
      </c>
      <c r="L73" s="34">
        <f>K73/D73*100</f>
        <v>94.65744814582024</v>
      </c>
      <c r="M73" s="42"/>
      <c r="O73" s="51">
        <v>153047000</v>
      </c>
      <c r="P73" s="36">
        <f t="shared" si="0"/>
        <v>-136047000</v>
      </c>
    </row>
    <row r="74" spans="1:16" ht="31.5" x14ac:dyDescent="0.2">
      <c r="A74" s="25"/>
      <c r="B74" s="46" t="s">
        <v>120</v>
      </c>
      <c r="C74" s="61" t="str">
        <f>[2]Sheet1!$I$62</f>
        <v>Koordinasi perencanaan air minum, drainase dan sanitasi perkotaan</v>
      </c>
      <c r="D74" s="59">
        <v>225000000</v>
      </c>
      <c r="E74" s="34">
        <f>D74/D71*100</f>
        <v>17.952175404721821</v>
      </c>
      <c r="F74" s="34">
        <v>100</v>
      </c>
      <c r="G74" s="34">
        <f t="shared" si="5"/>
        <v>6.1703555555555551</v>
      </c>
      <c r="H74" s="34">
        <f t="shared" si="4"/>
        <v>1.1077130524283307</v>
      </c>
      <c r="I74" s="59">
        <f>5000000+8883300</f>
        <v>13883300</v>
      </c>
      <c r="J74" s="41">
        <f>I74/D74*100</f>
        <v>6.1703555555555551</v>
      </c>
      <c r="K74" s="49">
        <f>D74-I74</f>
        <v>211116700</v>
      </c>
      <c r="L74" s="34">
        <f>K74/D74*100</f>
        <v>93.829644444444455</v>
      </c>
      <c r="M74" s="42"/>
      <c r="O74" s="51">
        <v>121131500</v>
      </c>
      <c r="P74" s="36">
        <f t="shared" si="0"/>
        <v>-107248200</v>
      </c>
    </row>
    <row r="75" spans="1:16" x14ac:dyDescent="0.2">
      <c r="A75" s="25"/>
      <c r="B75" s="46"/>
      <c r="C75" s="47"/>
      <c r="D75" s="59"/>
      <c r="E75" s="34"/>
      <c r="F75" s="34"/>
      <c r="G75" s="34"/>
      <c r="H75" s="34"/>
      <c r="I75" s="59"/>
      <c r="J75" s="41"/>
      <c r="K75" s="49"/>
      <c r="L75" s="34"/>
      <c r="M75" s="42"/>
      <c r="O75" s="51"/>
      <c r="P75" s="36">
        <f t="shared" si="0"/>
        <v>0</v>
      </c>
    </row>
    <row r="76" spans="1:16" ht="42" x14ac:dyDescent="0.2">
      <c r="A76" s="25" t="s">
        <v>121</v>
      </c>
      <c r="B76" s="26" t="s">
        <v>122</v>
      </c>
      <c r="C76" s="27" t="str">
        <f>[2]Sheet1!$I$64</f>
        <v>Program peningkatan kapasitas kelembagaan perencanaan pembangunan daerah</v>
      </c>
      <c r="D76" s="28">
        <f>SUM(D77:D78)</f>
        <v>349490000</v>
      </c>
      <c r="E76" s="29">
        <f>D76/D16*100</f>
        <v>2.0508823295671283</v>
      </c>
      <c r="F76" s="29">
        <f>AVERAGE(F77:F78)</f>
        <v>100</v>
      </c>
      <c r="G76" s="34">
        <f t="shared" si="5"/>
        <v>82.779018856047387</v>
      </c>
      <c r="H76" s="34">
        <f t="shared" si="4"/>
        <v>1.6977002703077171</v>
      </c>
      <c r="I76" s="100">
        <f>SUM(I77:I78)</f>
        <v>289304393</v>
      </c>
      <c r="J76" s="32">
        <f>I76/D76*100</f>
        <v>82.779018856047387</v>
      </c>
      <c r="K76" s="33">
        <f>D76-I76</f>
        <v>60185607</v>
      </c>
      <c r="L76" s="34">
        <f>K76/D76*100</f>
        <v>17.220981143952617</v>
      </c>
      <c r="M76" s="35"/>
      <c r="O76" s="31">
        <v>331627654</v>
      </c>
      <c r="P76" s="36">
        <f t="shared" si="0"/>
        <v>-42323261</v>
      </c>
    </row>
    <row r="77" spans="1:16" ht="21" x14ac:dyDescent="0.2">
      <c r="A77" s="25"/>
      <c r="B77" s="46" t="s">
        <v>123</v>
      </c>
      <c r="C77" s="61" t="str">
        <f>[2]Sheet1!$I$65</f>
        <v>Peningkatan kemampuan teknis aparat perencana</v>
      </c>
      <c r="D77" s="59">
        <v>197490000</v>
      </c>
      <c r="E77" s="34">
        <f>D77/D76*100</f>
        <v>56.508054593836732</v>
      </c>
      <c r="F77" s="34">
        <v>100</v>
      </c>
      <c r="G77" s="34">
        <f t="shared" si="5"/>
        <v>84.034327307711791</v>
      </c>
      <c r="H77" s="34">
        <f t="shared" si="4"/>
        <v>47.486163552605234</v>
      </c>
      <c r="I77" s="48">
        <f>165959393</f>
        <v>165959393</v>
      </c>
      <c r="J77" s="41">
        <f>I77/D77*100</f>
        <v>84.034327307711791</v>
      </c>
      <c r="K77" s="49">
        <f>D77-I77</f>
        <v>31530607</v>
      </c>
      <c r="L77" s="34">
        <f>K77/D77*100</f>
        <v>15.965672692288216</v>
      </c>
      <c r="M77" s="73"/>
      <c r="O77" s="51">
        <v>138878874</v>
      </c>
      <c r="P77" s="36">
        <f t="shared" si="0"/>
        <v>27080519</v>
      </c>
    </row>
    <row r="78" spans="1:16" ht="31.5" x14ac:dyDescent="0.2">
      <c r="A78" s="25"/>
      <c r="B78" s="46" t="s">
        <v>124</v>
      </c>
      <c r="C78" s="61" t="str">
        <f>[2]Sheet1!$I$67</f>
        <v>Bimbingan teknis tentang perencanan pembangunan daerah</v>
      </c>
      <c r="D78" s="59">
        <v>152000000</v>
      </c>
      <c r="E78" s="34">
        <f>D78/D76*100</f>
        <v>43.491945406163268</v>
      </c>
      <c r="F78" s="34">
        <v>100</v>
      </c>
      <c r="G78" s="34">
        <f t="shared" si="5"/>
        <v>81.14802631578948</v>
      </c>
      <c r="H78" s="34">
        <f t="shared" si="4"/>
        <v>35.29285530344216</v>
      </c>
      <c r="I78" s="59">
        <f>49700000+73645000</f>
        <v>123345000</v>
      </c>
      <c r="J78" s="41">
        <f>I78/D78*100</f>
        <v>81.14802631578948</v>
      </c>
      <c r="K78" s="49">
        <f>D78-I78</f>
        <v>28655000</v>
      </c>
      <c r="L78" s="34">
        <f>K78/D78*100</f>
        <v>18.851973684210527</v>
      </c>
      <c r="M78" s="63"/>
      <c r="O78" s="51">
        <v>148680000</v>
      </c>
      <c r="P78" s="36">
        <f t="shared" si="0"/>
        <v>-25335000</v>
      </c>
    </row>
    <row r="79" spans="1:16" x14ac:dyDescent="0.2">
      <c r="A79" s="25"/>
      <c r="B79" s="46"/>
      <c r="C79" s="74"/>
      <c r="D79" s="59"/>
      <c r="E79" s="34"/>
      <c r="F79" s="34"/>
      <c r="G79" s="34"/>
      <c r="H79" s="34"/>
      <c r="I79" s="59"/>
      <c r="J79" s="41"/>
      <c r="K79" s="49"/>
      <c r="L79" s="34"/>
      <c r="M79" s="42"/>
      <c r="O79" s="51"/>
      <c r="P79" s="36">
        <f t="shared" si="0"/>
        <v>0</v>
      </c>
    </row>
    <row r="80" spans="1:16" ht="21" x14ac:dyDescent="0.2">
      <c r="A80" s="25" t="s">
        <v>125</v>
      </c>
      <c r="B80" s="26" t="s">
        <v>126</v>
      </c>
      <c r="C80" s="27" t="str">
        <f>[2]Sheet1!$I$69</f>
        <v>Program perencanaan pembangunan daerah</v>
      </c>
      <c r="D80" s="28">
        <f>SUM(D81:D91)</f>
        <v>3003520000</v>
      </c>
      <c r="E80" s="29">
        <f>D80/D16*100</f>
        <v>17.625299992850902</v>
      </c>
      <c r="F80" s="29">
        <f>AVERAGE(F81:F89)</f>
        <v>100</v>
      </c>
      <c r="G80" s="34">
        <f t="shared" si="5"/>
        <v>25.468350468783296</v>
      </c>
      <c r="H80" s="34">
        <f t="shared" si="4"/>
        <v>4.4888731733537046</v>
      </c>
      <c r="I80" s="100">
        <f>SUM(I81:I91)</f>
        <v>764947000</v>
      </c>
      <c r="J80" s="32">
        <f t="shared" ref="J80:J91" si="14">I80/D80*100</f>
        <v>25.468350468783296</v>
      </c>
      <c r="K80" s="33">
        <f t="shared" ref="K80:K91" si="15">D80-I80</f>
        <v>2238573000</v>
      </c>
      <c r="L80" s="34">
        <f t="shared" ref="L80:L91" si="16">K80/D80*100</f>
        <v>74.531649531216701</v>
      </c>
      <c r="M80" s="35"/>
      <c r="O80" s="31">
        <v>2806063016</v>
      </c>
      <c r="P80" s="36">
        <f t="shared" si="0"/>
        <v>-2041116016</v>
      </c>
    </row>
    <row r="81" spans="1:16" ht="42" x14ac:dyDescent="0.2">
      <c r="A81" s="25"/>
      <c r="B81" s="46" t="s">
        <v>127</v>
      </c>
      <c r="C81" s="61" t="str">
        <f>[2]Sheet1!$I$70</f>
        <v>Pengembangan partisipasi masyarakat dalam perumusan program dan kebijakan layanan publik</v>
      </c>
      <c r="D81" s="59">
        <v>243520000</v>
      </c>
      <c r="E81" s="34">
        <f>D81/D80*100</f>
        <v>8.1078201576816546</v>
      </c>
      <c r="F81" s="34">
        <v>100</v>
      </c>
      <c r="G81" s="34">
        <f t="shared" si="5"/>
        <v>1.6458607095926412</v>
      </c>
      <c r="H81" s="34">
        <f t="shared" si="4"/>
        <v>0.13344342637971449</v>
      </c>
      <c r="I81" s="48">
        <f>4008000</f>
        <v>4008000</v>
      </c>
      <c r="J81" s="41">
        <f t="shared" si="14"/>
        <v>1.6458607095926412</v>
      </c>
      <c r="K81" s="49">
        <f t="shared" si="15"/>
        <v>239512000</v>
      </c>
      <c r="L81" s="34">
        <f t="shared" si="16"/>
        <v>98.35413929040736</v>
      </c>
      <c r="M81" s="42"/>
      <c r="O81" s="75">
        <v>160465000</v>
      </c>
      <c r="P81" s="36">
        <f t="shared" si="0"/>
        <v>-156457000</v>
      </c>
    </row>
    <row r="82" spans="1:16" ht="21" x14ac:dyDescent="0.2">
      <c r="A82" s="25"/>
      <c r="B82" s="46" t="s">
        <v>128</v>
      </c>
      <c r="C82" s="61" t="s">
        <v>129</v>
      </c>
      <c r="D82" s="59">
        <v>450000000</v>
      </c>
      <c r="E82" s="34">
        <f>D82/D80*100</f>
        <v>14.982420626464949</v>
      </c>
      <c r="F82" s="34">
        <v>100</v>
      </c>
      <c r="G82" s="34">
        <f t="shared" si="5"/>
        <v>0</v>
      </c>
      <c r="H82" s="34">
        <f t="shared" si="4"/>
        <v>0</v>
      </c>
      <c r="I82" s="59">
        <v>0</v>
      </c>
      <c r="J82" s="41">
        <f t="shared" si="14"/>
        <v>0</v>
      </c>
      <c r="K82" s="49">
        <f t="shared" si="15"/>
        <v>450000000</v>
      </c>
      <c r="L82" s="34">
        <f t="shared" si="16"/>
        <v>100</v>
      </c>
      <c r="M82" s="42"/>
      <c r="O82" s="75"/>
      <c r="P82" s="36"/>
    </row>
    <row r="83" spans="1:16" x14ac:dyDescent="0.2">
      <c r="A83" s="25"/>
      <c r="B83" s="46" t="s">
        <v>130</v>
      </c>
      <c r="C83" s="61" t="str">
        <f>[2]Sheet1!$I$73</f>
        <v>Penyusunan rancangan RKPD</v>
      </c>
      <c r="D83" s="59">
        <v>470000000</v>
      </c>
      <c r="E83" s="34">
        <f>D83/D80*100</f>
        <v>15.648305987641168</v>
      </c>
      <c r="F83" s="34">
        <v>100</v>
      </c>
      <c r="G83" s="34">
        <f t="shared" si="5"/>
        <v>50.409574468085104</v>
      </c>
      <c r="H83" s="34">
        <f t="shared" si="4"/>
        <v>7.8882444598337953</v>
      </c>
      <c r="I83" s="59">
        <f>164375000+72550000</f>
        <v>236925000</v>
      </c>
      <c r="J83" s="41">
        <f t="shared" si="14"/>
        <v>50.409574468085104</v>
      </c>
      <c r="K83" s="49">
        <f t="shared" si="15"/>
        <v>233075000</v>
      </c>
      <c r="L83" s="34">
        <f t="shared" si="16"/>
        <v>49.590425531914896</v>
      </c>
      <c r="M83" s="42"/>
      <c r="O83" s="51">
        <v>779776166</v>
      </c>
      <c r="P83" s="36">
        <f t="shared" ref="P83:P112" si="17">I83-O83</f>
        <v>-542851166</v>
      </c>
    </row>
    <row r="84" spans="1:16" ht="21" x14ac:dyDescent="0.2">
      <c r="A84" s="25"/>
      <c r="B84" s="46" t="s">
        <v>131</v>
      </c>
      <c r="C84" s="61" t="str">
        <f>[2]Sheet1!$I$74</f>
        <v>Penyelenggaraan musrenbang RKPD</v>
      </c>
      <c r="D84" s="59">
        <v>320000000</v>
      </c>
      <c r="E84" s="34">
        <f>D84/D80*100</f>
        <v>10.654165778819518</v>
      </c>
      <c r="F84" s="34">
        <v>100</v>
      </c>
      <c r="G84" s="34">
        <f t="shared" si="5"/>
        <v>90.1796875</v>
      </c>
      <c r="H84" s="34">
        <f t="shared" ref="H84:H111" si="18">G84*E84/100</f>
        <v>9.6078934050713833</v>
      </c>
      <c r="I84" s="59">
        <f>254075000+14500000+(20000000)</f>
        <v>288575000</v>
      </c>
      <c r="J84" s="41">
        <f t="shared" si="14"/>
        <v>90.1796875</v>
      </c>
      <c r="K84" s="49">
        <f t="shared" si="15"/>
        <v>31425000</v>
      </c>
      <c r="L84" s="34">
        <f t="shared" si="16"/>
        <v>9.8203125</v>
      </c>
      <c r="M84" s="42"/>
      <c r="O84" s="51">
        <v>335029050</v>
      </c>
      <c r="P84" s="36">
        <f t="shared" si="17"/>
        <v>-46454050</v>
      </c>
    </row>
    <row r="85" spans="1:16" ht="31.5" x14ac:dyDescent="0.2">
      <c r="A85" s="25"/>
      <c r="B85" s="46" t="s">
        <v>132</v>
      </c>
      <c r="C85" s="61" t="str">
        <f>[2]Sheet1!$I$75</f>
        <v>Koordinasi penyusunan laporan Keterangan Pertanggung Jawaban (LKPJ)</v>
      </c>
      <c r="D85" s="59">
        <v>215000000</v>
      </c>
      <c r="E85" s="34">
        <f>D85/D80*100</f>
        <v>7.1582676326443631</v>
      </c>
      <c r="F85" s="34">
        <v>100</v>
      </c>
      <c r="G85" s="34">
        <f t="shared" ref="G85:G111" si="19">J85</f>
        <v>70.741860465116275</v>
      </c>
      <c r="H85" s="34">
        <f t="shared" si="18"/>
        <v>5.0638917004048576</v>
      </c>
      <c r="I85" s="59">
        <f>109175000+42920000</f>
        <v>152095000</v>
      </c>
      <c r="J85" s="41">
        <f t="shared" si="14"/>
        <v>70.741860465116275</v>
      </c>
      <c r="K85" s="49">
        <f t="shared" si="15"/>
        <v>62905000</v>
      </c>
      <c r="L85" s="34">
        <f t="shared" si="16"/>
        <v>29.258139534883721</v>
      </c>
      <c r="M85" s="76"/>
      <c r="O85" s="51">
        <v>267919800</v>
      </c>
      <c r="P85" s="36">
        <f t="shared" si="17"/>
        <v>-115824800</v>
      </c>
    </row>
    <row r="86" spans="1:16" ht="21" x14ac:dyDescent="0.2">
      <c r="A86" s="25"/>
      <c r="B86" s="46" t="s">
        <v>133</v>
      </c>
      <c r="C86" s="61" t="str">
        <f>[2]Sheet1!$I$76</f>
        <v>Monitoring, evaluasi dan pelaporan</v>
      </c>
      <c r="D86" s="59">
        <v>275000000</v>
      </c>
      <c r="E86" s="34">
        <f>D86/D80*100</f>
        <v>9.1559237161730245</v>
      </c>
      <c r="F86" s="34">
        <v>100</v>
      </c>
      <c r="G86" s="34">
        <f t="shared" si="19"/>
        <v>11.043636363636363</v>
      </c>
      <c r="H86" s="34">
        <f t="shared" si="18"/>
        <v>1.0111469209460899</v>
      </c>
      <c r="I86" s="59">
        <v>30370000</v>
      </c>
      <c r="J86" s="41">
        <f t="shared" si="14"/>
        <v>11.043636363636363</v>
      </c>
      <c r="K86" s="49">
        <f t="shared" si="15"/>
        <v>244630000</v>
      </c>
      <c r="L86" s="34">
        <f t="shared" si="16"/>
        <v>88.956363636363633</v>
      </c>
      <c r="M86" s="42"/>
      <c r="O86" s="51">
        <v>226558000</v>
      </c>
      <c r="P86" s="36">
        <f t="shared" si="17"/>
        <v>-196188000</v>
      </c>
    </row>
    <row r="87" spans="1:16" ht="21" x14ac:dyDescent="0.2">
      <c r="A87" s="25"/>
      <c r="B87" s="46" t="s">
        <v>134</v>
      </c>
      <c r="C87" s="61" t="str">
        <f>[2]Sheet1!$I$77</f>
        <v>Penyusunan KU APBD Perubahan</v>
      </c>
      <c r="D87" s="59">
        <v>210000000</v>
      </c>
      <c r="E87" s="34">
        <f>D87/D80*100</f>
        <v>6.9917962923503092</v>
      </c>
      <c r="F87" s="34">
        <v>100</v>
      </c>
      <c r="G87" s="34">
        <f t="shared" si="19"/>
        <v>0</v>
      </c>
      <c r="H87" s="34">
        <f t="shared" si="18"/>
        <v>0</v>
      </c>
      <c r="I87" s="59">
        <v>0</v>
      </c>
      <c r="J87" s="41">
        <f t="shared" si="14"/>
        <v>0</v>
      </c>
      <c r="K87" s="49">
        <f t="shared" si="15"/>
        <v>210000000</v>
      </c>
      <c r="L87" s="34">
        <f t="shared" si="16"/>
        <v>100</v>
      </c>
      <c r="M87" s="42"/>
      <c r="O87" s="51">
        <v>246600000</v>
      </c>
      <c r="P87" s="36">
        <f t="shared" si="17"/>
        <v>-246600000</v>
      </c>
    </row>
    <row r="88" spans="1:16" x14ac:dyDescent="0.2">
      <c r="A88" s="25"/>
      <c r="B88" s="46" t="s">
        <v>135</v>
      </c>
      <c r="C88" s="61" t="str">
        <f>[2]Sheet1!$I$78</f>
        <v>Penyusunan PPAS Perubahan</v>
      </c>
      <c r="D88" s="59">
        <v>230000000</v>
      </c>
      <c r="E88" s="34">
        <f>D88/D80*100</f>
        <v>7.6576816535265282</v>
      </c>
      <c r="F88" s="34">
        <v>100</v>
      </c>
      <c r="G88" s="34">
        <f t="shared" si="19"/>
        <v>0</v>
      </c>
      <c r="H88" s="34">
        <f t="shared" si="18"/>
        <v>0</v>
      </c>
      <c r="I88" s="59">
        <v>0</v>
      </c>
      <c r="J88" s="41">
        <f t="shared" si="14"/>
        <v>0</v>
      </c>
      <c r="K88" s="49">
        <f t="shared" si="15"/>
        <v>230000000</v>
      </c>
      <c r="L88" s="34">
        <f t="shared" si="16"/>
        <v>100</v>
      </c>
      <c r="M88" s="42"/>
      <c r="O88" s="51">
        <v>248120000</v>
      </c>
      <c r="P88" s="36">
        <f t="shared" si="17"/>
        <v>-248120000</v>
      </c>
    </row>
    <row r="89" spans="1:16" ht="31.5" x14ac:dyDescent="0.2">
      <c r="A89" s="25"/>
      <c r="B89" s="46" t="s">
        <v>136</v>
      </c>
      <c r="C89" s="61" t="str">
        <f>[2]Sheet1!$I$80</f>
        <v>Pengumpulan, Updating dan Analisis Sistem Informasi Pembangunan Daerah</v>
      </c>
      <c r="D89" s="59">
        <v>150000000</v>
      </c>
      <c r="E89" s="34">
        <f>D89/D80*100</f>
        <v>4.9941402088216496</v>
      </c>
      <c r="F89" s="34">
        <v>100</v>
      </c>
      <c r="G89" s="34">
        <f t="shared" si="19"/>
        <v>35.315999999999995</v>
      </c>
      <c r="H89" s="34">
        <f t="shared" si="18"/>
        <v>1.7637305561474534</v>
      </c>
      <c r="I89" s="59">
        <f>20644000+32330000</f>
        <v>52974000</v>
      </c>
      <c r="J89" s="41">
        <f t="shared" si="14"/>
        <v>35.315999999999995</v>
      </c>
      <c r="K89" s="49">
        <f t="shared" si="15"/>
        <v>97026000</v>
      </c>
      <c r="L89" s="34">
        <f t="shared" si="16"/>
        <v>64.683999999999997</v>
      </c>
      <c r="M89" s="42"/>
      <c r="O89" s="51">
        <v>129110000</v>
      </c>
      <c r="P89" s="36">
        <f t="shared" si="17"/>
        <v>-76136000</v>
      </c>
    </row>
    <row r="90" spans="1:16" x14ac:dyDescent="0.2">
      <c r="A90" s="25"/>
      <c r="B90" s="46" t="s">
        <v>137</v>
      </c>
      <c r="C90" s="47" t="s">
        <v>138</v>
      </c>
      <c r="D90" s="59">
        <v>210000000</v>
      </c>
      <c r="E90" s="34">
        <f>D90/D80*100</f>
        <v>6.9917962923503092</v>
      </c>
      <c r="F90" s="34">
        <v>100</v>
      </c>
      <c r="G90" s="34">
        <f t="shared" si="19"/>
        <v>0</v>
      </c>
      <c r="H90" s="34">
        <f t="shared" si="18"/>
        <v>0</v>
      </c>
      <c r="I90" s="59">
        <v>0</v>
      </c>
      <c r="J90" s="41">
        <f t="shared" si="14"/>
        <v>0</v>
      </c>
      <c r="K90" s="49">
        <f t="shared" si="15"/>
        <v>210000000</v>
      </c>
      <c r="L90" s="34">
        <f t="shared" si="16"/>
        <v>100</v>
      </c>
      <c r="M90" s="42"/>
      <c r="O90" s="51"/>
      <c r="P90" s="36"/>
    </row>
    <row r="91" spans="1:16" x14ac:dyDescent="0.2">
      <c r="A91" s="25"/>
      <c r="B91" s="46" t="s">
        <v>139</v>
      </c>
      <c r="C91" s="47" t="s">
        <v>140</v>
      </c>
      <c r="D91" s="59">
        <v>230000000</v>
      </c>
      <c r="E91" s="34">
        <f>D91/D80*100</f>
        <v>7.6576816535265282</v>
      </c>
      <c r="F91" s="34">
        <v>100</v>
      </c>
      <c r="G91" s="34">
        <f t="shared" si="19"/>
        <v>0</v>
      </c>
      <c r="H91" s="34">
        <f t="shared" si="18"/>
        <v>0</v>
      </c>
      <c r="I91" s="59">
        <v>0</v>
      </c>
      <c r="J91" s="41">
        <f t="shared" si="14"/>
        <v>0</v>
      </c>
      <c r="K91" s="49">
        <f t="shared" si="15"/>
        <v>230000000</v>
      </c>
      <c r="L91" s="34">
        <f t="shared" si="16"/>
        <v>100</v>
      </c>
      <c r="M91" s="42"/>
      <c r="O91" s="51"/>
      <c r="P91" s="36"/>
    </row>
    <row r="92" spans="1:16" x14ac:dyDescent="0.2">
      <c r="A92" s="25"/>
      <c r="B92" s="46"/>
      <c r="C92" s="77"/>
      <c r="D92" s="59"/>
      <c r="E92" s="34"/>
      <c r="F92" s="34"/>
      <c r="G92" s="34"/>
      <c r="H92" s="34"/>
      <c r="I92" s="59"/>
      <c r="J92" s="41"/>
      <c r="K92" s="49"/>
      <c r="L92" s="34"/>
      <c r="M92" s="42"/>
      <c r="O92" s="51"/>
      <c r="P92" s="36">
        <f t="shared" si="17"/>
        <v>0</v>
      </c>
    </row>
    <row r="93" spans="1:16" ht="21" x14ac:dyDescent="0.2">
      <c r="A93" s="25" t="s">
        <v>141</v>
      </c>
      <c r="B93" s="26" t="s">
        <v>142</v>
      </c>
      <c r="C93" s="27" t="str">
        <f>[2]Sheet1!$I$81</f>
        <v>Program perencanaan pembangunan ekonomi</v>
      </c>
      <c r="D93" s="28">
        <f>SUM(D94:D99)</f>
        <v>1322675000</v>
      </c>
      <c r="E93" s="29">
        <f>D93/D16*100</f>
        <v>7.7617407801659599</v>
      </c>
      <c r="F93" s="29">
        <f>AVERAGE(F94:F99)</f>
        <v>100</v>
      </c>
      <c r="G93" s="34">
        <f t="shared" si="19"/>
        <v>20.618821706012437</v>
      </c>
      <c r="H93" s="34">
        <f t="shared" si="18"/>
        <v>1.6003794927452779</v>
      </c>
      <c r="I93" s="100">
        <f>SUM(I94:I99)</f>
        <v>272720000</v>
      </c>
      <c r="J93" s="32">
        <f>I93/D93*100</f>
        <v>20.618821706012437</v>
      </c>
      <c r="K93" s="33">
        <f t="shared" ref="K93:K99" si="20">D93-I93</f>
        <v>1049955000</v>
      </c>
      <c r="L93" s="34">
        <f t="shared" ref="L93:L99" si="21">K93/D93*100</f>
        <v>79.38117829398756</v>
      </c>
      <c r="M93" s="35"/>
      <c r="O93" s="31">
        <v>797617530</v>
      </c>
      <c r="P93" s="36">
        <f t="shared" si="17"/>
        <v>-524897530</v>
      </c>
    </row>
    <row r="94" spans="1:16" ht="21" x14ac:dyDescent="0.2">
      <c r="A94" s="25"/>
      <c r="B94" s="46" t="s">
        <v>143</v>
      </c>
      <c r="C94" s="61" t="str">
        <f>[2]Sheet1!$I$82</f>
        <v>Penyusunan Indikator ekonomi daerah</v>
      </c>
      <c r="D94" s="59">
        <v>150000000</v>
      </c>
      <c r="E94" s="34">
        <f>D94/D93*100</f>
        <v>11.340654355756326</v>
      </c>
      <c r="F94" s="34">
        <v>100</v>
      </c>
      <c r="G94" s="34">
        <f t="shared" si="19"/>
        <v>3</v>
      </c>
      <c r="H94" s="34">
        <f t="shared" si="18"/>
        <v>0.34021963067268979</v>
      </c>
      <c r="I94" s="59">
        <v>4500000</v>
      </c>
      <c r="J94" s="41">
        <f t="shared" ref="J94:J99" si="22">I94/D94*100</f>
        <v>3</v>
      </c>
      <c r="K94" s="49">
        <f t="shared" si="20"/>
        <v>145500000</v>
      </c>
      <c r="L94" s="34">
        <f t="shared" si="21"/>
        <v>97</v>
      </c>
      <c r="M94" s="42"/>
      <c r="O94" s="51">
        <v>186005678</v>
      </c>
      <c r="P94" s="36">
        <f t="shared" si="17"/>
        <v>-181505678</v>
      </c>
    </row>
    <row r="95" spans="1:16" ht="21" x14ac:dyDescent="0.2">
      <c r="A95" s="25"/>
      <c r="B95" s="46" t="s">
        <v>144</v>
      </c>
      <c r="C95" s="61" t="str">
        <f>[2]Sheet1!$I$84</f>
        <v>Koordinasi perencanaan pembangunan bidang ekonomi</v>
      </c>
      <c r="D95" s="59">
        <v>100000000</v>
      </c>
      <c r="E95" s="34">
        <f>D95/D93*100</f>
        <v>7.5604362371708849</v>
      </c>
      <c r="F95" s="34">
        <v>100</v>
      </c>
      <c r="G95" s="34">
        <f t="shared" si="19"/>
        <v>20</v>
      </c>
      <c r="H95" s="34">
        <f t="shared" si="18"/>
        <v>1.5120872474341769</v>
      </c>
      <c r="I95" s="59">
        <v>20000000</v>
      </c>
      <c r="J95" s="41">
        <f t="shared" si="22"/>
        <v>20</v>
      </c>
      <c r="K95" s="49">
        <f t="shared" si="20"/>
        <v>80000000</v>
      </c>
      <c r="L95" s="34">
        <f t="shared" si="21"/>
        <v>80</v>
      </c>
      <c r="M95" s="42"/>
      <c r="O95" s="51">
        <v>205639452</v>
      </c>
      <c r="P95" s="36">
        <f t="shared" si="17"/>
        <v>-185639452</v>
      </c>
    </row>
    <row r="96" spans="1:16" ht="21" x14ac:dyDescent="0.2">
      <c r="A96" s="25"/>
      <c r="B96" s="46" t="s">
        <v>145</v>
      </c>
      <c r="C96" s="61" t="s">
        <v>146</v>
      </c>
      <c r="D96" s="59">
        <v>450000000</v>
      </c>
      <c r="E96" s="34">
        <f>D96/D94*100</f>
        <v>300</v>
      </c>
      <c r="F96" s="34">
        <v>100</v>
      </c>
      <c r="G96" s="34">
        <f t="shared" si="19"/>
        <v>31.10222222222222</v>
      </c>
      <c r="H96" s="34">
        <f t="shared" si="18"/>
        <v>93.306666666666658</v>
      </c>
      <c r="I96" s="59">
        <v>139960000</v>
      </c>
      <c r="J96" s="41">
        <f t="shared" si="22"/>
        <v>31.10222222222222</v>
      </c>
      <c r="K96" s="49">
        <f t="shared" si="20"/>
        <v>310040000</v>
      </c>
      <c r="L96" s="34">
        <f t="shared" si="21"/>
        <v>68.897777777777776</v>
      </c>
      <c r="M96" s="42"/>
      <c r="O96" s="51"/>
      <c r="P96" s="36"/>
    </row>
    <row r="97" spans="1:16" ht="21" x14ac:dyDescent="0.2">
      <c r="A97" s="25"/>
      <c r="B97" s="46" t="s">
        <v>147</v>
      </c>
      <c r="C97" s="61" t="s">
        <v>148</v>
      </c>
      <c r="D97" s="59">
        <v>100000000</v>
      </c>
      <c r="E97" s="34">
        <f>D97/D93*100</f>
        <v>7.5604362371708849</v>
      </c>
      <c r="F97" s="34">
        <v>100</v>
      </c>
      <c r="G97" s="34">
        <f t="shared" si="19"/>
        <v>0</v>
      </c>
      <c r="H97" s="34">
        <f t="shared" si="18"/>
        <v>0</v>
      </c>
      <c r="I97" s="59">
        <v>0</v>
      </c>
      <c r="J97" s="41">
        <f t="shared" si="22"/>
        <v>0</v>
      </c>
      <c r="K97" s="49">
        <f t="shared" si="20"/>
        <v>100000000</v>
      </c>
      <c r="L97" s="34">
        <f t="shared" si="21"/>
        <v>100</v>
      </c>
      <c r="M97" s="73"/>
      <c r="O97" s="51">
        <v>48696300</v>
      </c>
      <c r="P97" s="36">
        <f t="shared" si="17"/>
        <v>-48696300</v>
      </c>
    </row>
    <row r="98" spans="1:16" x14ac:dyDescent="0.2">
      <c r="A98" s="25"/>
      <c r="B98" s="46" t="s">
        <v>149</v>
      </c>
      <c r="C98" s="61" t="s">
        <v>150</v>
      </c>
      <c r="D98" s="59">
        <v>147675000</v>
      </c>
      <c r="E98" s="34">
        <f>D98/D93*100</f>
        <v>11.164874213242104</v>
      </c>
      <c r="F98" s="34">
        <v>100</v>
      </c>
      <c r="G98" s="34">
        <f t="shared" si="19"/>
        <v>18.351108853902151</v>
      </c>
      <c r="H98" s="34">
        <f t="shared" si="18"/>
        <v>2.04887822027331</v>
      </c>
      <c r="I98" s="59">
        <v>27100000</v>
      </c>
      <c r="J98" s="41">
        <f t="shared" si="22"/>
        <v>18.351108853902151</v>
      </c>
      <c r="K98" s="49">
        <f t="shared" si="20"/>
        <v>120575000</v>
      </c>
      <c r="L98" s="34">
        <f t="shared" si="21"/>
        <v>81.648891146097853</v>
      </c>
      <c r="M98" s="73"/>
      <c r="O98" s="51"/>
      <c r="P98" s="36"/>
    </row>
    <row r="99" spans="1:16" s="80" customFormat="1" ht="21" x14ac:dyDescent="0.2">
      <c r="A99" s="78"/>
      <c r="B99" s="46" t="s">
        <v>151</v>
      </c>
      <c r="C99" s="61" t="s">
        <v>152</v>
      </c>
      <c r="D99" s="59">
        <v>375000000</v>
      </c>
      <c r="E99" s="34">
        <f>D99/D93*100</f>
        <v>28.35163588939082</v>
      </c>
      <c r="F99" s="34">
        <v>100</v>
      </c>
      <c r="G99" s="34">
        <f t="shared" si="19"/>
        <v>21.642666666666667</v>
      </c>
      <c r="H99" s="34">
        <f t="shared" si="18"/>
        <v>6.1360500500878903</v>
      </c>
      <c r="I99" s="59">
        <v>81160000</v>
      </c>
      <c r="J99" s="41">
        <f t="shared" si="22"/>
        <v>21.642666666666667</v>
      </c>
      <c r="K99" s="49">
        <f t="shared" si="20"/>
        <v>293840000</v>
      </c>
      <c r="L99" s="34">
        <f t="shared" si="21"/>
        <v>78.35733333333333</v>
      </c>
      <c r="M99" s="79"/>
      <c r="O99" s="81">
        <v>234465000</v>
      </c>
      <c r="P99" s="82">
        <f t="shared" si="17"/>
        <v>-153305000</v>
      </c>
    </row>
    <row r="100" spans="1:16" x14ac:dyDescent="0.2">
      <c r="A100" s="25"/>
      <c r="B100" s="46"/>
      <c r="C100" s="61"/>
      <c r="D100" s="59"/>
      <c r="E100" s="34"/>
      <c r="F100" s="34"/>
      <c r="G100" s="34"/>
      <c r="H100" s="34"/>
      <c r="I100" s="59"/>
      <c r="J100" s="41"/>
      <c r="K100" s="49"/>
      <c r="L100" s="34"/>
      <c r="M100" s="42"/>
      <c r="O100" s="51"/>
      <c r="P100" s="36">
        <f t="shared" si="17"/>
        <v>0</v>
      </c>
    </row>
    <row r="101" spans="1:16" ht="21" x14ac:dyDescent="0.2">
      <c r="A101" s="25" t="s">
        <v>153</v>
      </c>
      <c r="B101" s="26" t="s">
        <v>154</v>
      </c>
      <c r="C101" s="27" t="str">
        <f>[2]Sheet1!$I$89</f>
        <v>Program perencanaan sosial dan budaya</v>
      </c>
      <c r="D101" s="28">
        <f>SUM(D102:D106)</f>
        <v>894690000</v>
      </c>
      <c r="E101" s="29">
        <f>D101/D16*100</f>
        <v>5.2502329435474948</v>
      </c>
      <c r="F101" s="29">
        <f>AVERAGE(F102:F105)</f>
        <v>100</v>
      </c>
      <c r="G101" s="34">
        <f t="shared" si="19"/>
        <v>18.092668969140149</v>
      </c>
      <c r="H101" s="34">
        <f t="shared" si="18"/>
        <v>0.94990726658479108</v>
      </c>
      <c r="I101" s="100">
        <f>SUM(I102:I106)</f>
        <v>161873300</v>
      </c>
      <c r="J101" s="32">
        <f t="shared" ref="J101:J106" si="23">I101/D101*100</f>
        <v>18.092668969140149</v>
      </c>
      <c r="K101" s="33">
        <f t="shared" ref="K101:K106" si="24">D101-I101</f>
        <v>732816700</v>
      </c>
      <c r="L101" s="34">
        <f t="shared" ref="L101:L106" si="25">K101/D101*100</f>
        <v>81.907331030859851</v>
      </c>
      <c r="M101" s="35"/>
      <c r="O101" s="31">
        <v>417742000</v>
      </c>
      <c r="P101" s="36">
        <f t="shared" si="17"/>
        <v>-255868700</v>
      </c>
    </row>
    <row r="102" spans="1:16" ht="31.5" x14ac:dyDescent="0.2">
      <c r="A102" s="25"/>
      <c r="B102" s="46" t="s">
        <v>155</v>
      </c>
      <c r="C102" s="61" t="str">
        <f>[2]Sheet1!$I$90</f>
        <v>Koordinasi perencanaan pembangunan bidang sosial dan budaya</v>
      </c>
      <c r="D102" s="59">
        <v>182220000</v>
      </c>
      <c r="E102" s="34">
        <f>D102/D101*100</f>
        <v>20.366830969386044</v>
      </c>
      <c r="F102" s="34">
        <v>100</v>
      </c>
      <c r="G102" s="34">
        <f t="shared" si="19"/>
        <v>22.072220392931623</v>
      </c>
      <c r="H102" s="34">
        <f t="shared" si="18"/>
        <v>4.4954118186187397</v>
      </c>
      <c r="I102" s="48">
        <f>40820000-600000</f>
        <v>40220000</v>
      </c>
      <c r="J102" s="41">
        <f t="shared" si="23"/>
        <v>22.072220392931623</v>
      </c>
      <c r="K102" s="49">
        <f t="shared" si="24"/>
        <v>142000000</v>
      </c>
      <c r="L102" s="34">
        <f t="shared" si="25"/>
        <v>77.927779607068388</v>
      </c>
      <c r="M102" s="42"/>
      <c r="O102" s="51">
        <v>325940000</v>
      </c>
      <c r="P102" s="36">
        <f t="shared" si="17"/>
        <v>-285720000</v>
      </c>
    </row>
    <row r="103" spans="1:16" ht="15.75" customHeight="1" x14ac:dyDescent="0.2">
      <c r="A103" s="25"/>
      <c r="B103" s="46" t="s">
        <v>156</v>
      </c>
      <c r="C103" s="61" t="str">
        <f>[2]Sheet1!$I$91</f>
        <v>Pelaksanaan Program KHPPIA</v>
      </c>
      <c r="D103" s="59">
        <v>176970000</v>
      </c>
      <c r="E103" s="34">
        <f>D103/D101*100</f>
        <v>19.780035543037254</v>
      </c>
      <c r="F103" s="34">
        <v>100</v>
      </c>
      <c r="G103" s="34">
        <f t="shared" si="19"/>
        <v>34.281686161496303</v>
      </c>
      <c r="H103" s="34">
        <f t="shared" si="18"/>
        <v>6.7809297074964521</v>
      </c>
      <c r="I103" s="48">
        <f>64985000-4316700</f>
        <v>60668300</v>
      </c>
      <c r="J103" s="41">
        <f t="shared" si="23"/>
        <v>34.281686161496303</v>
      </c>
      <c r="K103" s="49">
        <f t="shared" si="24"/>
        <v>116301700</v>
      </c>
      <c r="L103" s="34">
        <f t="shared" si="25"/>
        <v>65.718313838503704</v>
      </c>
      <c r="M103" s="42"/>
      <c r="O103" s="51">
        <v>53102000</v>
      </c>
      <c r="P103" s="36">
        <f t="shared" si="17"/>
        <v>7566300</v>
      </c>
    </row>
    <row r="104" spans="1:16" ht="31.5" x14ac:dyDescent="0.2">
      <c r="A104" s="25"/>
      <c r="B104" s="46" t="s">
        <v>157</v>
      </c>
      <c r="C104" s="61" t="s">
        <v>158</v>
      </c>
      <c r="D104" s="59">
        <v>175640000</v>
      </c>
      <c r="E104" s="34">
        <f>D104/D101*100</f>
        <v>19.631380701695559</v>
      </c>
      <c r="F104" s="34"/>
      <c r="G104" s="34">
        <f t="shared" si="19"/>
        <v>0</v>
      </c>
      <c r="H104" s="34">
        <f t="shared" si="18"/>
        <v>0</v>
      </c>
      <c r="I104" s="59">
        <v>0</v>
      </c>
      <c r="J104" s="41">
        <f t="shared" si="23"/>
        <v>0</v>
      </c>
      <c r="K104" s="49">
        <f t="shared" si="24"/>
        <v>175640000</v>
      </c>
      <c r="L104" s="34">
        <f t="shared" si="25"/>
        <v>100</v>
      </c>
      <c r="M104" s="42"/>
      <c r="O104" s="51"/>
      <c r="P104" s="36"/>
    </row>
    <row r="105" spans="1:16" ht="32.25" x14ac:dyDescent="0.2">
      <c r="A105" s="25"/>
      <c r="B105" s="46" t="s">
        <v>159</v>
      </c>
      <c r="C105" s="83" t="s">
        <v>160</v>
      </c>
      <c r="D105" s="59">
        <v>187960000</v>
      </c>
      <c r="E105" s="34">
        <f>D105/D101*100</f>
        <v>21.008393968860723</v>
      </c>
      <c r="F105" s="34">
        <v>100</v>
      </c>
      <c r="G105" s="34">
        <f t="shared" si="19"/>
        <v>16.28804000851245</v>
      </c>
      <c r="H105" s="34">
        <f t="shared" si="18"/>
        <v>3.4218556147939512</v>
      </c>
      <c r="I105" s="59">
        <v>30615000</v>
      </c>
      <c r="J105" s="41">
        <f t="shared" si="23"/>
        <v>16.28804000851245</v>
      </c>
      <c r="K105" s="49">
        <f t="shared" si="24"/>
        <v>157345000</v>
      </c>
      <c r="L105" s="34">
        <f t="shared" si="25"/>
        <v>83.711959991487547</v>
      </c>
      <c r="M105" s="73"/>
      <c r="O105" s="51">
        <v>38700000</v>
      </c>
      <c r="P105" s="36">
        <f t="shared" si="17"/>
        <v>-8085000</v>
      </c>
    </row>
    <row r="106" spans="1:16" ht="21.75" x14ac:dyDescent="0.2">
      <c r="A106" s="25"/>
      <c r="B106" s="46" t="s">
        <v>161</v>
      </c>
      <c r="C106" s="84" t="s">
        <v>162</v>
      </c>
      <c r="D106" s="59">
        <v>171900000</v>
      </c>
      <c r="E106" s="34">
        <f>D106/D102*100</f>
        <v>94.336516298979262</v>
      </c>
      <c r="F106" s="34">
        <v>100</v>
      </c>
      <c r="G106" s="34">
        <f t="shared" si="19"/>
        <v>17.667248400232694</v>
      </c>
      <c r="H106" s="34">
        <f t="shared" si="18"/>
        <v>16.666666666666668</v>
      </c>
      <c r="I106" s="59">
        <v>30370000</v>
      </c>
      <c r="J106" s="41">
        <f t="shared" si="23"/>
        <v>17.667248400232694</v>
      </c>
      <c r="K106" s="49">
        <f t="shared" si="24"/>
        <v>141530000</v>
      </c>
      <c r="L106" s="34">
        <f t="shared" si="25"/>
        <v>82.332751599767306</v>
      </c>
      <c r="M106" s="73"/>
      <c r="O106" s="51"/>
      <c r="P106" s="36"/>
    </row>
    <row r="107" spans="1:16" x14ac:dyDescent="0.2">
      <c r="A107" s="25"/>
      <c r="B107" s="46"/>
      <c r="D107" s="59"/>
      <c r="E107" s="34"/>
      <c r="F107" s="34"/>
      <c r="G107" s="34"/>
      <c r="H107" s="34"/>
      <c r="I107" s="59"/>
      <c r="J107" s="41"/>
      <c r="K107" s="49"/>
      <c r="L107" s="34"/>
      <c r="M107" s="73"/>
      <c r="O107" s="51"/>
      <c r="P107" s="36"/>
    </row>
    <row r="108" spans="1:16" ht="52.5" x14ac:dyDescent="0.2">
      <c r="A108" s="25" t="s">
        <v>163</v>
      </c>
      <c r="B108" s="26" t="s">
        <v>164</v>
      </c>
      <c r="C108" s="27" t="s">
        <v>165</v>
      </c>
      <c r="D108" s="28">
        <f>SUM(D109:D111)</f>
        <v>1293750000</v>
      </c>
      <c r="E108" s="29">
        <f>D108/D16*100</f>
        <v>7.5920026721150027</v>
      </c>
      <c r="F108" s="29">
        <f>AVERAGE(F109:F111)</f>
        <v>100</v>
      </c>
      <c r="G108" s="34">
        <f t="shared" si="19"/>
        <v>1.9258975845410629</v>
      </c>
      <c r="H108" s="34">
        <f t="shared" si="18"/>
        <v>0.14621419608055577</v>
      </c>
      <c r="I108" s="100">
        <f>SUM(I109:I111)</f>
        <v>24916300</v>
      </c>
      <c r="J108" s="32">
        <f>I108/D108*100</f>
        <v>1.9258975845410629</v>
      </c>
      <c r="K108" s="33">
        <f>D108-I108</f>
        <v>1268833700</v>
      </c>
      <c r="L108" s="34">
        <f>K108/D108*100</f>
        <v>98.074102415458938</v>
      </c>
      <c r="M108" s="35"/>
      <c r="O108" s="31">
        <v>383477500</v>
      </c>
      <c r="P108" s="36">
        <f t="shared" si="17"/>
        <v>-358561200</v>
      </c>
    </row>
    <row r="109" spans="1:16" ht="31.5" x14ac:dyDescent="0.2">
      <c r="A109" s="25"/>
      <c r="B109" s="46" t="s">
        <v>166</v>
      </c>
      <c r="C109" s="61" t="s">
        <v>167</v>
      </c>
      <c r="D109" s="59">
        <v>723750000</v>
      </c>
      <c r="E109" s="34">
        <f>D109/D108*100</f>
        <v>55.942028985507243</v>
      </c>
      <c r="F109" s="34">
        <v>100</v>
      </c>
      <c r="G109" s="34">
        <f t="shared" si="19"/>
        <v>0.27633851468048359</v>
      </c>
      <c r="H109" s="34">
        <f t="shared" si="18"/>
        <v>0.15458937198067632</v>
      </c>
      <c r="I109" s="59">
        <v>2000000</v>
      </c>
      <c r="J109" s="41">
        <f>I109/D109*100</f>
        <v>0.27633851468048359</v>
      </c>
      <c r="K109" s="49">
        <f>D109-I109</f>
        <v>721750000</v>
      </c>
      <c r="L109" s="34">
        <f>K109/D109*100</f>
        <v>99.723661485319511</v>
      </c>
      <c r="M109" s="63"/>
      <c r="O109" s="51">
        <v>168150000</v>
      </c>
      <c r="P109" s="36">
        <f t="shared" si="17"/>
        <v>-166150000</v>
      </c>
    </row>
    <row r="110" spans="1:16" ht="31.5" x14ac:dyDescent="0.2">
      <c r="A110" s="25"/>
      <c r="B110" s="122" t="s">
        <v>168</v>
      </c>
      <c r="C110" s="61" t="s">
        <v>169</v>
      </c>
      <c r="D110" s="59">
        <v>235000000</v>
      </c>
      <c r="E110" s="34">
        <f>D110/D108*100</f>
        <v>18.164251207729468</v>
      </c>
      <c r="F110" s="34">
        <v>100</v>
      </c>
      <c r="G110" s="34">
        <f t="shared" si="19"/>
        <v>8.2622553191489363</v>
      </c>
      <c r="H110" s="34">
        <f t="shared" si="18"/>
        <v>1.5007768115942028</v>
      </c>
      <c r="I110" s="48">
        <v>19416300</v>
      </c>
      <c r="J110" s="41">
        <f>I110/D110*100</f>
        <v>8.2622553191489363</v>
      </c>
      <c r="K110" s="49">
        <f>D110-I110</f>
        <v>215583700</v>
      </c>
      <c r="L110" s="34">
        <f>K110/D110*100</f>
        <v>91.737744680851065</v>
      </c>
      <c r="M110" s="63"/>
      <c r="O110" s="51">
        <v>89350000</v>
      </c>
      <c r="P110" s="36">
        <f t="shared" si="17"/>
        <v>-69933700</v>
      </c>
    </row>
    <row r="111" spans="1:16" ht="31.5" x14ac:dyDescent="0.2">
      <c r="A111" s="25"/>
      <c r="B111" s="122" t="s">
        <v>170</v>
      </c>
      <c r="C111" s="61" t="s">
        <v>171</v>
      </c>
      <c r="D111" s="59">
        <v>335000000</v>
      </c>
      <c r="E111" s="34">
        <f>D111/D108*100</f>
        <v>25.893719806763283</v>
      </c>
      <c r="F111" s="34">
        <v>100</v>
      </c>
      <c r="G111" s="34">
        <f t="shared" si="19"/>
        <v>1.0447761194029852</v>
      </c>
      <c r="H111" s="34">
        <f t="shared" si="18"/>
        <v>0.27053140096618356</v>
      </c>
      <c r="I111" s="48">
        <v>3500000</v>
      </c>
      <c r="J111" s="41">
        <f>I111/D111*100</f>
        <v>1.0447761194029852</v>
      </c>
      <c r="K111" s="49">
        <f>D111-I111</f>
        <v>331500000</v>
      </c>
      <c r="L111" s="34">
        <f>K111/D111*100</f>
        <v>98.955223880597003</v>
      </c>
      <c r="M111" s="73"/>
      <c r="O111" s="51">
        <v>125977500</v>
      </c>
      <c r="P111" s="36">
        <f t="shared" si="17"/>
        <v>-122477500</v>
      </c>
    </row>
    <row r="112" spans="1:16" ht="12" thickBot="1" x14ac:dyDescent="0.25">
      <c r="A112" s="85"/>
      <c r="B112" s="86"/>
      <c r="C112" s="87"/>
      <c r="D112" s="88"/>
      <c r="E112" s="89"/>
      <c r="F112" s="89"/>
      <c r="G112" s="90"/>
      <c r="H112" s="90"/>
      <c r="I112" s="88"/>
      <c r="J112" s="91"/>
      <c r="K112" s="92"/>
      <c r="L112" s="90"/>
      <c r="M112" s="93"/>
      <c r="O112" s="94"/>
      <c r="P112" s="36">
        <f t="shared" si="17"/>
        <v>0</v>
      </c>
    </row>
    <row r="113" spans="1:15" x14ac:dyDescent="0.2">
      <c r="A113" s="95"/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O113" s="95"/>
    </row>
    <row r="114" spans="1:15" x14ac:dyDescent="0.2">
      <c r="K114" s="346" t="s">
        <v>176</v>
      </c>
      <c r="L114" s="346"/>
    </row>
    <row r="115" spans="1:15" x14ac:dyDescent="0.2">
      <c r="I115" s="96"/>
      <c r="O115" s="96"/>
    </row>
    <row r="116" spans="1:15" x14ac:dyDescent="0.2">
      <c r="K116" s="346" t="s">
        <v>172</v>
      </c>
      <c r="L116" s="346"/>
    </row>
    <row r="117" spans="1:15" x14ac:dyDescent="0.2">
      <c r="K117" s="97"/>
      <c r="L117" s="98"/>
    </row>
    <row r="118" spans="1:15" x14ac:dyDescent="0.2">
      <c r="K118" s="97"/>
      <c r="L118" s="98"/>
    </row>
    <row r="119" spans="1:15" x14ac:dyDescent="0.2">
      <c r="K119" s="97"/>
      <c r="L119" s="98"/>
    </row>
    <row r="120" spans="1:15" x14ac:dyDescent="0.2">
      <c r="K120" s="97"/>
      <c r="L120" s="98"/>
    </row>
    <row r="121" spans="1:15" x14ac:dyDescent="0.2">
      <c r="J121" s="347" t="s">
        <v>173</v>
      </c>
      <c r="K121" s="347"/>
      <c r="L121" s="347"/>
      <c r="M121" s="347"/>
    </row>
    <row r="122" spans="1:15" x14ac:dyDescent="0.2">
      <c r="J122" s="348" t="s">
        <v>174</v>
      </c>
      <c r="K122" s="348"/>
      <c r="L122" s="348"/>
      <c r="M122" s="348"/>
    </row>
    <row r="123" spans="1:15" x14ac:dyDescent="0.2">
      <c r="K123" s="95"/>
    </row>
    <row r="127" spans="1:15" x14ac:dyDescent="0.2">
      <c r="D127" s="99"/>
    </row>
    <row r="129" spans="3:3" x14ac:dyDescent="0.2">
      <c r="C129" s="80"/>
    </row>
  </sheetData>
  <mergeCells count="21">
    <mergeCell ref="B9:C9"/>
    <mergeCell ref="K114:L114"/>
    <mergeCell ref="K116:L116"/>
    <mergeCell ref="J121:M121"/>
    <mergeCell ref="J122:M122"/>
    <mergeCell ref="O7:O8"/>
    <mergeCell ref="A1:M1"/>
    <mergeCell ref="A2:M2"/>
    <mergeCell ref="A6:A8"/>
    <mergeCell ref="B6:B8"/>
    <mergeCell ref="C6:C8"/>
    <mergeCell ref="D6:D8"/>
    <mergeCell ref="E6:E8"/>
    <mergeCell ref="F6:F8"/>
    <mergeCell ref="G6:J6"/>
    <mergeCell ref="K6:K8"/>
    <mergeCell ref="L6:L8"/>
    <mergeCell ref="M6:M8"/>
    <mergeCell ref="G7:H7"/>
    <mergeCell ref="I7:I8"/>
    <mergeCell ref="J7:J8"/>
  </mergeCells>
  <printOptions horizontalCentered="1"/>
  <pageMargins left="0" right="0" top="0.43307086614173229" bottom="0.27559055118110237" header="0.31496062992125984" footer="0.15748031496062992"/>
  <pageSetup paperSize="513" scale="88" orientation="landscape" horizontalDpi="4294967293" r:id="rId1"/>
  <rowBreaks count="2" manualBreakCount="2">
    <brk id="68" max="12" man="1"/>
    <brk id="92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60" workbookViewId="0">
      <selection sqref="A1:H15"/>
    </sheetView>
  </sheetViews>
  <sheetFormatPr defaultRowHeight="15" x14ac:dyDescent="0.25"/>
  <cols>
    <col min="1" max="1" width="6.140625" customWidth="1"/>
    <col min="2" max="2" width="11.85546875" customWidth="1"/>
    <col min="3" max="3" width="21.42578125" customWidth="1"/>
    <col min="4" max="4" width="21.28515625" customWidth="1"/>
    <col min="5" max="5" width="19.7109375" customWidth="1"/>
    <col min="6" max="6" width="22.140625" customWidth="1"/>
    <col min="7" max="7" width="14.5703125" customWidth="1"/>
    <col min="8" max="8" width="21.28515625" customWidth="1"/>
  </cols>
  <sheetData>
    <row r="1" spans="1:8" ht="87" customHeight="1" thickBot="1" x14ac:dyDescent="0.4">
      <c r="A1" s="105" t="s">
        <v>193</v>
      </c>
      <c r="B1" s="105" t="s">
        <v>178</v>
      </c>
      <c r="C1" s="105" t="s">
        <v>183</v>
      </c>
      <c r="D1" s="105" t="s">
        <v>179</v>
      </c>
      <c r="E1" s="105" t="s">
        <v>180</v>
      </c>
      <c r="F1" s="105" t="s">
        <v>184</v>
      </c>
      <c r="G1" s="105" t="s">
        <v>182</v>
      </c>
      <c r="H1" s="105" t="s">
        <v>192</v>
      </c>
    </row>
    <row r="2" spans="1:8" ht="9.75" customHeight="1" x14ac:dyDescent="0.35">
      <c r="A2" s="106"/>
      <c r="B2" s="107"/>
      <c r="C2" s="107"/>
      <c r="D2" s="107"/>
      <c r="E2" s="107"/>
      <c r="F2" s="107"/>
      <c r="G2" s="107"/>
      <c r="H2" s="106"/>
    </row>
    <row r="3" spans="1:8" ht="16.5" customHeight="1" x14ac:dyDescent="0.35">
      <c r="A3" s="108">
        <v>1</v>
      </c>
      <c r="B3" s="109" t="s">
        <v>26</v>
      </c>
      <c r="C3" s="110">
        <v>4554768782</v>
      </c>
      <c r="D3" s="111">
        <v>1193094107</v>
      </c>
      <c r="E3" s="111">
        <v>657766721</v>
      </c>
      <c r="F3" s="112">
        <f t="shared" ref="F3:F14" si="0">D3-E3</f>
        <v>535327386</v>
      </c>
      <c r="G3" s="113">
        <f t="shared" ref="G3:G14" si="1">D3/C3*100</f>
        <v>26.194394580796086</v>
      </c>
      <c r="H3" s="114" t="s">
        <v>191</v>
      </c>
    </row>
    <row r="4" spans="1:8" ht="16.5" customHeight="1" x14ac:dyDescent="0.35">
      <c r="A4" s="108">
        <v>2</v>
      </c>
      <c r="B4" s="109" t="s">
        <v>190</v>
      </c>
      <c r="C4" s="110">
        <v>1323000000</v>
      </c>
      <c r="D4" s="111">
        <v>868113886</v>
      </c>
      <c r="E4" s="111">
        <v>248752305</v>
      </c>
      <c r="F4" s="112">
        <f t="shared" si="0"/>
        <v>619361581</v>
      </c>
      <c r="G4" s="113">
        <f t="shared" si="1"/>
        <v>65.617073771730915</v>
      </c>
      <c r="H4" s="115"/>
    </row>
    <row r="5" spans="1:8" ht="16.5" customHeight="1" x14ac:dyDescent="0.35">
      <c r="A5" s="108">
        <v>3</v>
      </c>
      <c r="B5" s="109" t="s">
        <v>189</v>
      </c>
      <c r="C5" s="110">
        <v>239095000</v>
      </c>
      <c r="D5" s="111">
        <v>82000000</v>
      </c>
      <c r="E5" s="111">
        <v>28000000</v>
      </c>
      <c r="F5" s="112">
        <f t="shared" si="0"/>
        <v>54000000</v>
      </c>
      <c r="G5" s="113">
        <f t="shared" si="1"/>
        <v>34.29599113323156</v>
      </c>
      <c r="H5" s="115"/>
    </row>
    <row r="6" spans="1:8" ht="17.45" x14ac:dyDescent="0.35">
      <c r="A6" s="108">
        <v>4</v>
      </c>
      <c r="B6" s="109" t="s">
        <v>188</v>
      </c>
      <c r="C6" s="110">
        <v>52572800</v>
      </c>
      <c r="D6" s="111">
        <v>14625000</v>
      </c>
      <c r="E6" s="111">
        <v>11109000</v>
      </c>
      <c r="F6" s="112">
        <f t="shared" si="0"/>
        <v>3516000</v>
      </c>
      <c r="G6" s="113">
        <f t="shared" si="1"/>
        <v>27.818567776492785</v>
      </c>
      <c r="H6" s="115"/>
    </row>
    <row r="7" spans="1:8" ht="17.45" x14ac:dyDescent="0.35">
      <c r="A7" s="108">
        <v>5</v>
      </c>
      <c r="B7" s="109" t="s">
        <v>187</v>
      </c>
      <c r="C7" s="110">
        <v>129600000</v>
      </c>
      <c r="D7" s="111">
        <v>8181000</v>
      </c>
      <c r="E7" s="111">
        <v>8145000</v>
      </c>
      <c r="F7" s="112">
        <f t="shared" si="0"/>
        <v>36000</v>
      </c>
      <c r="G7" s="113">
        <f t="shared" si="1"/>
        <v>6.3125</v>
      </c>
      <c r="H7" s="115"/>
    </row>
    <row r="8" spans="1:8" ht="17.45" x14ac:dyDescent="0.35">
      <c r="A8" s="108">
        <v>6</v>
      </c>
      <c r="B8" s="109" t="s">
        <v>186</v>
      </c>
      <c r="C8" s="110">
        <v>1120542500</v>
      </c>
      <c r="D8" s="111">
        <v>252994000</v>
      </c>
      <c r="E8" s="111">
        <v>0</v>
      </c>
      <c r="F8" s="112">
        <f t="shared" si="0"/>
        <v>252994000</v>
      </c>
      <c r="G8" s="113">
        <f t="shared" si="1"/>
        <v>22.57781387140604</v>
      </c>
      <c r="H8" s="115"/>
    </row>
    <row r="9" spans="1:8" ht="17.45" x14ac:dyDescent="0.35">
      <c r="A9" s="108">
        <v>7</v>
      </c>
      <c r="B9" s="109" t="s">
        <v>185</v>
      </c>
      <c r="C9" s="110">
        <v>25520000</v>
      </c>
      <c r="D9" s="111">
        <v>22932950</v>
      </c>
      <c r="E9" s="111">
        <v>22000000</v>
      </c>
      <c r="F9" s="112">
        <f t="shared" si="0"/>
        <v>932950</v>
      </c>
      <c r="G9" s="113">
        <f t="shared" si="1"/>
        <v>89.862656739811911</v>
      </c>
      <c r="H9" s="115"/>
    </row>
    <row r="10" spans="1:8" ht="17.45" x14ac:dyDescent="0.35">
      <c r="A10" s="108">
        <v>8</v>
      </c>
      <c r="B10" s="109" t="s">
        <v>181</v>
      </c>
      <c r="C10" s="110">
        <v>252945600</v>
      </c>
      <c r="D10" s="111">
        <v>171792000</v>
      </c>
      <c r="E10" s="111">
        <v>37892000</v>
      </c>
      <c r="F10" s="112">
        <f t="shared" si="0"/>
        <v>133900000</v>
      </c>
      <c r="G10" s="113">
        <f t="shared" si="1"/>
        <v>67.91657969144353</v>
      </c>
      <c r="H10" s="115"/>
    </row>
    <row r="11" spans="1:8" ht="17.45" x14ac:dyDescent="0.35">
      <c r="A11" s="108">
        <v>9</v>
      </c>
      <c r="B11" s="109" t="s">
        <v>177</v>
      </c>
      <c r="C11" s="110">
        <v>470940000</v>
      </c>
      <c r="D11" s="111">
        <v>93498692</v>
      </c>
      <c r="E11" s="111">
        <v>85877150</v>
      </c>
      <c r="F11" s="112">
        <f t="shared" si="0"/>
        <v>7621542</v>
      </c>
      <c r="G11" s="113">
        <f t="shared" si="1"/>
        <v>19.853631460483289</v>
      </c>
      <c r="H11" s="115"/>
    </row>
    <row r="12" spans="1:8" ht="17.45" x14ac:dyDescent="0.35">
      <c r="A12" s="108">
        <v>10</v>
      </c>
      <c r="B12" s="109" t="s">
        <v>194</v>
      </c>
      <c r="C12" s="110">
        <v>293420000</v>
      </c>
      <c r="D12" s="111">
        <v>11763488</v>
      </c>
      <c r="E12" s="111">
        <v>0</v>
      </c>
      <c r="F12" s="112">
        <f t="shared" si="0"/>
        <v>11763488</v>
      </c>
      <c r="G12" s="113">
        <f t="shared" si="1"/>
        <v>4.0090954945129846</v>
      </c>
      <c r="H12" s="115"/>
    </row>
    <row r="13" spans="1:8" ht="35.1" x14ac:dyDescent="0.35">
      <c r="A13" s="108">
        <v>11</v>
      </c>
      <c r="B13" s="116" t="s">
        <v>195</v>
      </c>
      <c r="C13" s="110">
        <v>235000000</v>
      </c>
      <c r="D13" s="117">
        <v>19416300</v>
      </c>
      <c r="E13" s="118">
        <v>0</v>
      </c>
      <c r="F13" s="119">
        <f t="shared" si="0"/>
        <v>19416300</v>
      </c>
      <c r="G13" s="120">
        <f t="shared" si="1"/>
        <v>8.2622553191489363</v>
      </c>
      <c r="H13" s="115"/>
    </row>
    <row r="14" spans="1:8" ht="35.1" x14ac:dyDescent="0.35">
      <c r="A14" s="108">
        <v>12</v>
      </c>
      <c r="B14" s="116" t="s">
        <v>196</v>
      </c>
      <c r="C14" s="110">
        <v>335000000</v>
      </c>
      <c r="D14" s="117">
        <v>3500000</v>
      </c>
      <c r="E14" s="118">
        <v>0</v>
      </c>
      <c r="F14" s="119">
        <f t="shared" si="0"/>
        <v>3500000</v>
      </c>
      <c r="G14" s="120">
        <f t="shared" si="1"/>
        <v>1.0447761194029852</v>
      </c>
      <c r="H14" s="115"/>
    </row>
    <row r="15" spans="1:8" thickBot="1" x14ac:dyDescent="0.4">
      <c r="A15" s="121"/>
      <c r="B15" s="121"/>
      <c r="C15" s="121"/>
      <c r="D15" s="121"/>
      <c r="E15" s="121"/>
      <c r="F15" s="121"/>
      <c r="G15" s="121"/>
      <c r="H15" s="121"/>
    </row>
  </sheetData>
  <printOptions horizontalCentered="1"/>
  <pageMargins left="0" right="0" top="0.74803149606299213" bottom="0.74803149606299213" header="0.31496062992125984" footer="0.31496062992125984"/>
  <pageSetup paperSize="51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26"/>
  <sheetViews>
    <sheetView view="pageBreakPreview" topLeftCell="A76" zoomScale="120" zoomScaleNormal="120" zoomScaleSheetLayoutView="120" workbookViewId="0">
      <selection activeCell="I56" sqref="I56"/>
    </sheetView>
  </sheetViews>
  <sheetFormatPr defaultColWidth="9.140625" defaultRowHeight="11.25" x14ac:dyDescent="0.2"/>
  <cols>
    <col min="1" max="1" width="5.42578125" style="154" customWidth="1"/>
    <col min="2" max="2" width="16.7109375" style="1" customWidth="1"/>
    <col min="3" max="3" width="22.5703125" style="95" customWidth="1"/>
    <col min="4" max="4" width="16" style="154" customWidth="1"/>
    <col min="5" max="5" width="7.5703125" style="154" customWidth="1"/>
    <col min="6" max="6" width="7.42578125" style="154" customWidth="1"/>
    <col min="7" max="8" width="10.42578125" style="154" bestFit="1" customWidth="1"/>
    <col min="9" max="9" width="15.42578125" style="95" customWidth="1"/>
    <col min="10" max="10" width="8.5703125" style="154" bestFit="1" customWidth="1"/>
    <col min="11" max="11" width="17.42578125" style="154" customWidth="1"/>
    <col min="12" max="12" width="8.85546875" style="154" customWidth="1"/>
    <col min="13" max="13" width="18.85546875" style="1" customWidth="1"/>
    <col min="14" max="14" width="24.85546875" style="1" hidden="1" customWidth="1"/>
    <col min="15" max="15" width="13.85546875" style="1" hidden="1" customWidth="1"/>
    <col min="16" max="16" width="17.85546875" style="1" customWidth="1"/>
    <col min="17" max="16384" width="9.140625" style="1"/>
  </cols>
  <sheetData>
    <row r="1" spans="1:16" ht="15" x14ac:dyDescent="0.3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</row>
    <row r="2" spans="1:16" ht="15" x14ac:dyDescent="0.3">
      <c r="A2" s="320" t="s">
        <v>205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6" ht="10.5" x14ac:dyDescent="0.25">
      <c r="A3" s="142"/>
      <c r="B3" s="2"/>
      <c r="C3" s="123"/>
      <c r="D3" s="142"/>
      <c r="E3" s="142"/>
      <c r="F3" s="142"/>
      <c r="G3" s="142"/>
      <c r="H3" s="142"/>
      <c r="I3" s="123"/>
      <c r="J3" s="142"/>
      <c r="K3" s="142"/>
      <c r="L3" s="142"/>
      <c r="N3" s="2"/>
    </row>
    <row r="4" spans="1:16" ht="10.5" x14ac:dyDescent="0.25">
      <c r="A4" s="143" t="s">
        <v>2</v>
      </c>
      <c r="B4" s="3"/>
      <c r="C4" s="124"/>
      <c r="D4" s="143"/>
      <c r="E4" s="5"/>
      <c r="F4" s="5"/>
      <c r="G4" s="161"/>
      <c r="H4" s="162"/>
      <c r="I4" s="127"/>
      <c r="J4" s="162"/>
      <c r="K4" s="164" t="s">
        <v>296</v>
      </c>
      <c r="L4" s="164"/>
      <c r="N4" s="8"/>
    </row>
    <row r="5" spans="1:16" ht="11.1" thickBot="1" x14ac:dyDescent="0.3">
      <c r="A5" s="162"/>
      <c r="B5" s="7"/>
      <c r="C5" s="125"/>
      <c r="D5" s="143"/>
      <c r="E5" s="143"/>
      <c r="F5" s="143"/>
      <c r="G5" s="162"/>
      <c r="H5" s="162"/>
      <c r="I5" s="125"/>
      <c r="J5" s="162"/>
      <c r="K5" s="164" t="s">
        <v>295</v>
      </c>
      <c r="L5" s="164"/>
      <c r="N5" s="7"/>
    </row>
    <row r="6" spans="1:16" ht="15" customHeight="1" x14ac:dyDescent="0.2">
      <c r="A6" s="321" t="s">
        <v>6</v>
      </c>
      <c r="B6" s="324" t="s">
        <v>7</v>
      </c>
      <c r="C6" s="327" t="s">
        <v>8</v>
      </c>
      <c r="D6" s="324" t="s">
        <v>9</v>
      </c>
      <c r="E6" s="324" t="s">
        <v>10</v>
      </c>
      <c r="F6" s="324" t="s">
        <v>11</v>
      </c>
      <c r="G6" s="330" t="s">
        <v>12</v>
      </c>
      <c r="H6" s="331"/>
      <c r="I6" s="331"/>
      <c r="J6" s="332"/>
      <c r="K6" s="333" t="s">
        <v>13</v>
      </c>
      <c r="L6" s="336" t="s">
        <v>14</v>
      </c>
    </row>
    <row r="7" spans="1:16" ht="11.25" customHeight="1" x14ac:dyDescent="0.2">
      <c r="A7" s="322"/>
      <c r="B7" s="325"/>
      <c r="C7" s="328"/>
      <c r="D7" s="325"/>
      <c r="E7" s="325"/>
      <c r="F7" s="325"/>
      <c r="G7" s="339" t="s">
        <v>16</v>
      </c>
      <c r="H7" s="340"/>
      <c r="I7" s="341" t="s">
        <v>17</v>
      </c>
      <c r="J7" s="342" t="s">
        <v>14</v>
      </c>
      <c r="K7" s="334"/>
      <c r="L7" s="337"/>
      <c r="N7" s="318" t="s">
        <v>18</v>
      </c>
    </row>
    <row r="8" spans="1:16" ht="21.75" thickBot="1" x14ac:dyDescent="0.25">
      <c r="A8" s="323"/>
      <c r="B8" s="326"/>
      <c r="C8" s="329"/>
      <c r="D8" s="326"/>
      <c r="E8" s="326"/>
      <c r="F8" s="326"/>
      <c r="G8" s="10" t="s">
        <v>19</v>
      </c>
      <c r="H8" s="10" t="s">
        <v>20</v>
      </c>
      <c r="I8" s="326"/>
      <c r="J8" s="338"/>
      <c r="K8" s="335"/>
      <c r="L8" s="338"/>
      <c r="N8" s="319"/>
    </row>
    <row r="9" spans="1:16" ht="15.75" hidden="1" customHeight="1" x14ac:dyDescent="0.25">
      <c r="A9" s="11">
        <v>1</v>
      </c>
      <c r="B9" s="313">
        <v>2</v>
      </c>
      <c r="C9" s="314"/>
      <c r="D9" s="198">
        <v>3</v>
      </c>
      <c r="E9" s="198">
        <v>4</v>
      </c>
      <c r="F9" s="198">
        <v>5</v>
      </c>
      <c r="G9" s="198">
        <v>6</v>
      </c>
      <c r="H9" s="198" t="s">
        <v>21</v>
      </c>
      <c r="I9" s="198">
        <v>9</v>
      </c>
      <c r="J9" s="197" t="s">
        <v>22</v>
      </c>
      <c r="K9" s="196" t="s">
        <v>23</v>
      </c>
      <c r="L9" s="197" t="s">
        <v>24</v>
      </c>
      <c r="N9" s="198">
        <v>9</v>
      </c>
    </row>
    <row r="10" spans="1:16" ht="10.5" x14ac:dyDescent="0.25">
      <c r="A10" s="172"/>
      <c r="B10" s="26"/>
      <c r="C10" s="27" t="s">
        <v>25</v>
      </c>
      <c r="D10" s="144">
        <f>D14+D12</f>
        <v>16704507513</v>
      </c>
      <c r="E10" s="156">
        <v>100</v>
      </c>
      <c r="F10" s="160">
        <v>100</v>
      </c>
      <c r="G10" s="156">
        <f>J10</f>
        <v>22.973192223796389</v>
      </c>
      <c r="H10" s="160">
        <f>E10*G10/100</f>
        <v>22.973192223796385</v>
      </c>
      <c r="I10" s="135">
        <f>I12+I14</f>
        <v>3837558621</v>
      </c>
      <c r="J10" s="163">
        <f>I10/D10*100</f>
        <v>22.973192223796389</v>
      </c>
      <c r="K10" s="165">
        <f>K14+K12</f>
        <v>12866948892</v>
      </c>
      <c r="L10" s="73">
        <f>K10/D10*100</f>
        <v>77.026807776203611</v>
      </c>
      <c r="N10" s="31">
        <v>11493328563</v>
      </c>
      <c r="O10" s="36">
        <f>I10-N10</f>
        <v>-7655769942</v>
      </c>
    </row>
    <row r="11" spans="1:16" ht="10.5" x14ac:dyDescent="0.25">
      <c r="A11" s="172"/>
      <c r="B11" s="37"/>
      <c r="C11" s="38"/>
      <c r="D11" s="145"/>
      <c r="E11" s="157"/>
      <c r="F11" s="157"/>
      <c r="G11" s="157"/>
      <c r="H11" s="157"/>
      <c r="I11" s="134"/>
      <c r="J11" s="73"/>
      <c r="K11" s="165"/>
      <c r="L11" s="73"/>
      <c r="N11" s="40"/>
      <c r="O11" s="36">
        <f>I11-N11</f>
        <v>0</v>
      </c>
    </row>
    <row r="12" spans="1:16" ht="24.75" customHeight="1" x14ac:dyDescent="0.25">
      <c r="A12" s="173">
        <v>1</v>
      </c>
      <c r="B12" s="26" t="s">
        <v>26</v>
      </c>
      <c r="C12" s="27" t="s">
        <v>27</v>
      </c>
      <c r="D12" s="144">
        <f>D13</f>
        <v>3935294040</v>
      </c>
      <c r="E12" s="156">
        <f>D12/D10*100</f>
        <v>23.558276333124002</v>
      </c>
      <c r="F12" s="156">
        <v>100</v>
      </c>
      <c r="G12" s="156">
        <f>J12</f>
        <v>28.267254484495901</v>
      </c>
      <c r="H12" s="156">
        <f>E12*G12/100</f>
        <v>6.6592779232449315</v>
      </c>
      <c r="I12" s="135">
        <f>I13</f>
        <v>1112399581</v>
      </c>
      <c r="J12" s="163">
        <f>I12/D12*100</f>
        <v>28.267254484495901</v>
      </c>
      <c r="K12" s="165">
        <f t="shared" ref="K12:K25" si="0">D12-I12</f>
        <v>2822894459</v>
      </c>
      <c r="L12" s="73">
        <f>L13</f>
        <v>71.732745515504092</v>
      </c>
      <c r="N12" s="31">
        <v>2383915726</v>
      </c>
      <c r="O12" s="36">
        <f>I12-N12</f>
        <v>-1271516145</v>
      </c>
    </row>
    <row r="13" spans="1:16" ht="18" customHeight="1" x14ac:dyDescent="0.25">
      <c r="A13" s="173"/>
      <c r="B13" s="178" t="s">
        <v>28</v>
      </c>
      <c r="C13" s="188" t="s">
        <v>29</v>
      </c>
      <c r="D13" s="145">
        <v>3935294040</v>
      </c>
      <c r="E13" s="157">
        <v>17.490661184813938</v>
      </c>
      <c r="F13" s="157">
        <v>100</v>
      </c>
      <c r="G13" s="157">
        <v>96.902457381452479</v>
      </c>
      <c r="H13" s="157">
        <v>16.948880500348579</v>
      </c>
      <c r="I13" s="199">
        <f>160497820+320404365+157500000+473997396</f>
        <v>1112399581</v>
      </c>
      <c r="J13" s="73">
        <f>I13/D13*100</f>
        <v>28.267254484495901</v>
      </c>
      <c r="K13" s="166">
        <f>D13-I13</f>
        <v>2822894459</v>
      </c>
      <c r="L13" s="73">
        <f>F13-J13</f>
        <v>71.732745515504092</v>
      </c>
      <c r="N13" s="31"/>
      <c r="O13" s="36"/>
    </row>
    <row r="14" spans="1:16" ht="10.5" x14ac:dyDescent="0.25">
      <c r="A14" s="173">
        <v>2</v>
      </c>
      <c r="B14" s="26" t="s">
        <v>30</v>
      </c>
      <c r="C14" s="27" t="s">
        <v>31</v>
      </c>
      <c r="D14" s="144">
        <f>D15+D27+D36+D40+D43+D52+D58+D61+D64+D67+D72+D77+D90+D98+D105</f>
        <v>12769213473</v>
      </c>
      <c r="E14" s="158">
        <f>D14/D10*100</f>
        <v>76.441723666875987</v>
      </c>
      <c r="F14" s="160">
        <v>100</v>
      </c>
      <c r="G14" s="160">
        <f>J14</f>
        <v>21.341635847519047</v>
      </c>
      <c r="H14" s="158">
        <f>G14*E14/100</f>
        <v>16.313914300551456</v>
      </c>
      <c r="I14" s="136">
        <f>I15+I27+I36+I40+I43+I52+I58+I61+I64+I67+I72+I77+I90+I98+I105</f>
        <v>2725159040</v>
      </c>
      <c r="J14" s="163">
        <f t="shared" ref="J14:J25" si="1">I14/D14*100</f>
        <v>21.341635847519047</v>
      </c>
      <c r="K14" s="165">
        <f t="shared" si="0"/>
        <v>10044054433</v>
      </c>
      <c r="L14" s="73">
        <f t="shared" ref="L14:L25" si="2">K14/D14*100</f>
        <v>78.658364152480956</v>
      </c>
      <c r="M14" s="56"/>
      <c r="N14" s="31">
        <v>9109412837</v>
      </c>
      <c r="O14" s="36">
        <f t="shared" ref="O14:O20" si="3">I14-N14</f>
        <v>-6384253797</v>
      </c>
      <c r="P14" s="57"/>
    </row>
    <row r="15" spans="1:16" ht="20.100000000000001" x14ac:dyDescent="0.25">
      <c r="A15" s="172" t="s">
        <v>32</v>
      </c>
      <c r="B15" s="177" t="s">
        <v>208</v>
      </c>
      <c r="C15" s="27" t="str">
        <f>[1]April!$C$24</f>
        <v>Program Pelayanan Administrasi Perkantoran</v>
      </c>
      <c r="D15" s="144">
        <f>SUM(D16:D25)</f>
        <v>1858599473</v>
      </c>
      <c r="E15" s="156">
        <f>D15/D14*100</f>
        <v>14.555316793238172</v>
      </c>
      <c r="F15" s="156">
        <f>AVERAGE(F16:F25)</f>
        <v>100</v>
      </c>
      <c r="G15" s="156">
        <f>J15</f>
        <v>42.256772392832801</v>
      </c>
      <c r="H15" s="156">
        <f>G15*E15/100</f>
        <v>6.150607088374425</v>
      </c>
      <c r="I15" s="136">
        <f>SUM(I16:I25)</f>
        <v>785384149</v>
      </c>
      <c r="J15" s="163">
        <f t="shared" si="1"/>
        <v>42.256772392832801</v>
      </c>
      <c r="K15" s="165">
        <f t="shared" si="0"/>
        <v>1073215324</v>
      </c>
      <c r="L15" s="73">
        <f t="shared" si="2"/>
        <v>57.743227607167192</v>
      </c>
      <c r="N15" s="31">
        <v>1291959978</v>
      </c>
      <c r="O15" s="36">
        <f t="shared" si="3"/>
        <v>-506575829</v>
      </c>
    </row>
    <row r="16" spans="1:16" ht="10.5" x14ac:dyDescent="0.25">
      <c r="A16" s="174"/>
      <c r="B16" s="178" t="s">
        <v>207</v>
      </c>
      <c r="C16" s="188" t="s">
        <v>35</v>
      </c>
      <c r="D16" s="137">
        <v>27000000</v>
      </c>
      <c r="E16" s="157">
        <f>D16/D15*100</f>
        <v>1.452706750014235</v>
      </c>
      <c r="F16" s="157">
        <v>100</v>
      </c>
      <c r="G16" s="157">
        <f>J16</f>
        <v>25</v>
      </c>
      <c r="H16" s="157">
        <f>G16*E16/100</f>
        <v>0.3631766875035588</v>
      </c>
      <c r="I16" s="137">
        <v>6750000</v>
      </c>
      <c r="J16" s="73">
        <f t="shared" si="1"/>
        <v>25</v>
      </c>
      <c r="K16" s="166">
        <f t="shared" si="0"/>
        <v>20250000</v>
      </c>
      <c r="L16" s="73">
        <f t="shared" si="2"/>
        <v>75</v>
      </c>
      <c r="N16" s="51">
        <v>16505000</v>
      </c>
      <c r="O16" s="36">
        <f t="shared" si="3"/>
        <v>-9755000</v>
      </c>
    </row>
    <row r="17" spans="1:15" ht="20.100000000000001" x14ac:dyDescent="0.25">
      <c r="A17" s="174"/>
      <c r="B17" s="178" t="s">
        <v>209</v>
      </c>
      <c r="C17" s="47" t="s">
        <v>37</v>
      </c>
      <c r="D17" s="137">
        <v>655000000</v>
      </c>
      <c r="E17" s="157">
        <f>D17/D15*100</f>
        <v>35.241589676271253</v>
      </c>
      <c r="F17" s="157">
        <v>100</v>
      </c>
      <c r="G17" s="157">
        <v>9.07</v>
      </c>
      <c r="H17" s="157">
        <f>G17*E17/100</f>
        <v>3.1964121836378028</v>
      </c>
      <c r="I17" s="137">
        <f>79622784+70000000+135636223</f>
        <v>285259007</v>
      </c>
      <c r="J17" s="73">
        <f t="shared" si="1"/>
        <v>43.550993435114506</v>
      </c>
      <c r="K17" s="166">
        <f t="shared" si="0"/>
        <v>369740993</v>
      </c>
      <c r="L17" s="73">
        <f t="shared" si="2"/>
        <v>56.449006564885494</v>
      </c>
      <c r="N17" s="51">
        <v>504908116</v>
      </c>
      <c r="O17" s="36">
        <f t="shared" si="3"/>
        <v>-219649109</v>
      </c>
    </row>
    <row r="18" spans="1:15" ht="20.100000000000001" x14ac:dyDescent="0.25">
      <c r="A18" s="174"/>
      <c r="B18" s="178" t="s">
        <v>210</v>
      </c>
      <c r="C18" s="188" t="s">
        <v>39</v>
      </c>
      <c r="D18" s="138">
        <v>266100000</v>
      </c>
      <c r="E18" s="157">
        <f>D18/D15*100</f>
        <v>14.317232080695849</v>
      </c>
      <c r="F18" s="157">
        <v>100</v>
      </c>
      <c r="G18" s="157">
        <f>J18</f>
        <v>21.529124389327318</v>
      </c>
      <c r="H18" s="157">
        <f t="shared" ref="H18:H80" si="4">G18*E18/100</f>
        <v>3.0823747037616851</v>
      </c>
      <c r="I18" s="137">
        <f>2000000+3789000+51500000</f>
        <v>57289000</v>
      </c>
      <c r="J18" s="73">
        <f t="shared" si="1"/>
        <v>21.529124389327318</v>
      </c>
      <c r="K18" s="166">
        <f t="shared" si="0"/>
        <v>208811000</v>
      </c>
      <c r="L18" s="73">
        <f t="shared" si="2"/>
        <v>78.470875610672678</v>
      </c>
      <c r="N18" s="51">
        <v>138855000</v>
      </c>
      <c r="O18" s="36">
        <f t="shared" si="3"/>
        <v>-81566000</v>
      </c>
    </row>
    <row r="19" spans="1:15" ht="10.5" x14ac:dyDescent="0.25">
      <c r="A19" s="174"/>
      <c r="B19" s="178" t="s">
        <v>211</v>
      </c>
      <c r="C19" s="47" t="s">
        <v>41</v>
      </c>
      <c r="D19" s="138">
        <v>67180000</v>
      </c>
      <c r="E19" s="157">
        <f>D19/D15*100</f>
        <v>3.6145496098502337</v>
      </c>
      <c r="F19" s="157">
        <v>100</v>
      </c>
      <c r="G19" s="157">
        <f t="shared" ref="G19:G81" si="5">J19</f>
        <v>49.407561774337601</v>
      </c>
      <c r="H19" s="157">
        <f t="shared" si="4"/>
        <v>1.7858608313508331</v>
      </c>
      <c r="I19" s="137">
        <f>16596000+16596000</f>
        <v>33192000</v>
      </c>
      <c r="J19" s="73">
        <f t="shared" si="1"/>
        <v>49.407561774337601</v>
      </c>
      <c r="K19" s="166">
        <f t="shared" si="0"/>
        <v>33988000</v>
      </c>
      <c r="L19" s="73">
        <f t="shared" si="2"/>
        <v>50.592438225662391</v>
      </c>
      <c r="N19" s="51">
        <v>30435000</v>
      </c>
      <c r="O19" s="36">
        <f t="shared" si="3"/>
        <v>2757000</v>
      </c>
    </row>
    <row r="20" spans="1:15" ht="20.100000000000001" x14ac:dyDescent="0.25">
      <c r="A20" s="174"/>
      <c r="B20" s="178" t="s">
        <v>212</v>
      </c>
      <c r="C20" s="47" t="s">
        <v>43</v>
      </c>
      <c r="D20" s="138">
        <v>62180000</v>
      </c>
      <c r="E20" s="157">
        <f>D20/D15*100</f>
        <v>3.3455298413290793</v>
      </c>
      <c r="F20" s="157">
        <v>100</v>
      </c>
      <c r="G20" s="157">
        <f t="shared" si="5"/>
        <v>23.456095207462209</v>
      </c>
      <c r="H20" s="157">
        <f t="shared" si="4"/>
        <v>0.78473066477620823</v>
      </c>
      <c r="I20" s="137">
        <v>14585000</v>
      </c>
      <c r="J20" s="73">
        <f t="shared" si="1"/>
        <v>23.456095207462209</v>
      </c>
      <c r="K20" s="166">
        <f t="shared" si="0"/>
        <v>47595000</v>
      </c>
      <c r="L20" s="73">
        <f t="shared" si="2"/>
        <v>76.543904792537802</v>
      </c>
      <c r="N20" s="51">
        <v>36271000</v>
      </c>
      <c r="O20" s="36">
        <f t="shared" si="3"/>
        <v>-21686000</v>
      </c>
    </row>
    <row r="21" spans="1:15" ht="30" x14ac:dyDescent="0.25">
      <c r="A21" s="174"/>
      <c r="B21" s="178" t="s">
        <v>213</v>
      </c>
      <c r="C21" s="47" t="s">
        <v>45</v>
      </c>
      <c r="D21" s="138">
        <v>14340000</v>
      </c>
      <c r="E21" s="157">
        <f>D21/D14*100</f>
        <v>0.11230135693417113</v>
      </c>
      <c r="F21" s="157">
        <v>100</v>
      </c>
      <c r="G21" s="157">
        <f t="shared" si="5"/>
        <v>40.446304044630402</v>
      </c>
      <c r="H21" s="157">
        <f t="shared" si="4"/>
        <v>4.5421748271840486E-2</v>
      </c>
      <c r="I21" s="137">
        <v>5800000</v>
      </c>
      <c r="J21" s="73">
        <f t="shared" si="1"/>
        <v>40.446304044630402</v>
      </c>
      <c r="K21" s="166">
        <f t="shared" si="0"/>
        <v>8540000</v>
      </c>
      <c r="L21" s="73">
        <f t="shared" si="2"/>
        <v>59.553695955369598</v>
      </c>
      <c r="N21" s="51"/>
      <c r="O21" s="36"/>
    </row>
    <row r="22" spans="1:15" ht="20.100000000000001" x14ac:dyDescent="0.25">
      <c r="A22" s="174"/>
      <c r="B22" s="178" t="s">
        <v>214</v>
      </c>
      <c r="C22" s="47" t="s">
        <v>47</v>
      </c>
      <c r="D22" s="138">
        <v>47780000</v>
      </c>
      <c r="E22" s="157">
        <f>D22/D15*100</f>
        <v>2.5707529079881537</v>
      </c>
      <c r="F22" s="157">
        <v>100</v>
      </c>
      <c r="G22" s="157">
        <f t="shared" si="5"/>
        <v>23.421933863541231</v>
      </c>
      <c r="H22" s="157">
        <f t="shared" si="4"/>
        <v>0.60212004590404833</v>
      </c>
      <c r="I22" s="137">
        <f>3841000+7350000</f>
        <v>11191000</v>
      </c>
      <c r="J22" s="73">
        <f t="shared" si="1"/>
        <v>23.421933863541231</v>
      </c>
      <c r="K22" s="166">
        <f t="shared" si="0"/>
        <v>36589000</v>
      </c>
      <c r="L22" s="73">
        <f t="shared" si="2"/>
        <v>76.578066136458773</v>
      </c>
      <c r="N22" s="51">
        <v>22580000</v>
      </c>
      <c r="O22" s="36">
        <f t="shared" ref="O22:O35" si="6">I22-N22</f>
        <v>-11389000</v>
      </c>
    </row>
    <row r="23" spans="1:15" ht="20.100000000000001" x14ac:dyDescent="0.25">
      <c r="A23" s="174"/>
      <c r="B23" s="178" t="s">
        <v>215</v>
      </c>
      <c r="C23" s="47" t="s">
        <v>49</v>
      </c>
      <c r="D23" s="138">
        <v>96640000</v>
      </c>
      <c r="E23" s="157">
        <f>D23/D15*100</f>
        <v>5.1996140859768767</v>
      </c>
      <c r="F23" s="157">
        <v>100</v>
      </c>
      <c r="G23" s="157">
        <f t="shared" si="5"/>
        <v>50.703642384105962</v>
      </c>
      <c r="H23" s="157">
        <f t="shared" si="4"/>
        <v>2.6363937315073156</v>
      </c>
      <c r="I23" s="137">
        <f>5000000+44000000</f>
        <v>49000000</v>
      </c>
      <c r="J23" s="73">
        <f t="shared" si="1"/>
        <v>50.703642384105962</v>
      </c>
      <c r="K23" s="166">
        <f t="shared" si="0"/>
        <v>47640000</v>
      </c>
      <c r="L23" s="73">
        <f t="shared" si="2"/>
        <v>49.296357615894038</v>
      </c>
      <c r="N23" s="51">
        <v>56291750</v>
      </c>
      <c r="O23" s="36">
        <f t="shared" si="6"/>
        <v>-7291750</v>
      </c>
    </row>
    <row r="24" spans="1:15" ht="20.100000000000001" x14ac:dyDescent="0.25">
      <c r="A24" s="174"/>
      <c r="B24" s="178" t="s">
        <v>216</v>
      </c>
      <c r="C24" s="47" t="s">
        <v>51</v>
      </c>
      <c r="D24" s="138">
        <v>593199473</v>
      </c>
      <c r="E24" s="157">
        <f>D24/D15*100</f>
        <v>31.916476982666186</v>
      </c>
      <c r="F24" s="157">
        <v>100</v>
      </c>
      <c r="G24" s="157">
        <f t="shared" si="5"/>
        <v>52.575593235565812</v>
      </c>
      <c r="H24" s="157">
        <f t="shared" si="4"/>
        <v>16.780277113529561</v>
      </c>
      <c r="I24" s="138">
        <f>24878142+30000000+257000000</f>
        <v>311878142</v>
      </c>
      <c r="J24" s="73">
        <f t="shared" si="1"/>
        <v>52.575593235565812</v>
      </c>
      <c r="K24" s="166">
        <f t="shared" si="0"/>
        <v>281321331</v>
      </c>
      <c r="L24" s="73">
        <f t="shared" si="2"/>
        <v>47.424406764434195</v>
      </c>
      <c r="N24" s="51">
        <v>477449112</v>
      </c>
      <c r="O24" s="36">
        <f t="shared" si="6"/>
        <v>-165570970</v>
      </c>
    </row>
    <row r="25" spans="1:15" ht="20.100000000000001" x14ac:dyDescent="0.25">
      <c r="A25" s="174"/>
      <c r="B25" s="178" t="s">
        <v>217</v>
      </c>
      <c r="C25" s="47" t="s">
        <v>53</v>
      </c>
      <c r="D25" s="138">
        <v>29180000</v>
      </c>
      <c r="E25" s="157">
        <f>D25/D15*100</f>
        <v>1.5699993690894583</v>
      </c>
      <c r="F25" s="157">
        <v>100</v>
      </c>
      <c r="G25" s="157">
        <f t="shared" si="5"/>
        <v>35.777930089102121</v>
      </c>
      <c r="H25" s="157">
        <f t="shared" si="4"/>
        <v>0.56171327667217075</v>
      </c>
      <c r="I25" s="137">
        <f>440000+10000000</f>
        <v>10440000</v>
      </c>
      <c r="J25" s="73">
        <f t="shared" si="1"/>
        <v>35.777930089102121</v>
      </c>
      <c r="K25" s="166">
        <f t="shared" si="0"/>
        <v>18740000</v>
      </c>
      <c r="L25" s="73">
        <f t="shared" si="2"/>
        <v>64.222069910897872</v>
      </c>
      <c r="N25" s="51">
        <v>8665000</v>
      </c>
      <c r="O25" s="36">
        <f t="shared" si="6"/>
        <v>1775000</v>
      </c>
    </row>
    <row r="26" spans="1:15" ht="10.5" x14ac:dyDescent="0.25">
      <c r="A26" s="174"/>
      <c r="B26" s="46"/>
      <c r="C26" s="47"/>
      <c r="D26" s="138"/>
      <c r="E26" s="156"/>
      <c r="F26" s="156"/>
      <c r="G26" s="157"/>
      <c r="H26" s="157"/>
      <c r="I26" s="137"/>
      <c r="J26" s="73"/>
      <c r="K26" s="166"/>
      <c r="L26" s="73"/>
      <c r="N26" s="51"/>
      <c r="O26" s="36">
        <f t="shared" si="6"/>
        <v>0</v>
      </c>
    </row>
    <row r="27" spans="1:15" ht="30" x14ac:dyDescent="0.25">
      <c r="A27" s="172" t="s">
        <v>54</v>
      </c>
      <c r="B27" s="171" t="s">
        <v>218</v>
      </c>
      <c r="C27" s="27" t="str">
        <f>[1]April!$C$102</f>
        <v>Program Peningkatan Sarana dan Prasarana Aparatur</v>
      </c>
      <c r="D27" s="144">
        <f>SUM(D28:D34)</f>
        <v>1032060000</v>
      </c>
      <c r="E27" s="156">
        <f>D27/D14*100</f>
        <v>8.0824085381785675</v>
      </c>
      <c r="F27" s="156">
        <f>AVERAGE(F28:F34)</f>
        <v>100</v>
      </c>
      <c r="G27" s="156">
        <f>J27</f>
        <v>11.765788810728059</v>
      </c>
      <c r="H27" s="156">
        <f>G27*E27/100</f>
        <v>0.95095911942234324</v>
      </c>
      <c r="I27" s="136">
        <f>SUM(I28:I34)</f>
        <v>121430000</v>
      </c>
      <c r="J27" s="163">
        <f t="shared" ref="J27:J34" si="7">I27/D27*100</f>
        <v>11.765788810728059</v>
      </c>
      <c r="K27" s="165">
        <f t="shared" ref="K27:K34" si="8">D27-I27</f>
        <v>910630000</v>
      </c>
      <c r="L27" s="73">
        <f>K27/D27*100</f>
        <v>88.234211189271932</v>
      </c>
      <c r="N27" s="31">
        <v>485504227</v>
      </c>
      <c r="O27" s="36">
        <f t="shared" si="6"/>
        <v>-364074227</v>
      </c>
    </row>
    <row r="28" spans="1:15" ht="20.100000000000001" x14ac:dyDescent="0.25">
      <c r="A28" s="174"/>
      <c r="B28" s="178" t="s">
        <v>219</v>
      </c>
      <c r="C28" s="189" t="s">
        <v>59</v>
      </c>
      <c r="D28" s="146">
        <v>29450000</v>
      </c>
      <c r="E28" s="157">
        <f>D28/D27*100</f>
        <v>2.8535162684340056</v>
      </c>
      <c r="F28" s="157">
        <v>100</v>
      </c>
      <c r="G28" s="157">
        <f t="shared" si="5"/>
        <v>0</v>
      </c>
      <c r="H28" s="157">
        <f t="shared" si="4"/>
        <v>0</v>
      </c>
      <c r="I28" s="137">
        <v>0</v>
      </c>
      <c r="J28" s="73">
        <f t="shared" si="7"/>
        <v>0</v>
      </c>
      <c r="K28" s="166">
        <f t="shared" si="8"/>
        <v>29450000</v>
      </c>
      <c r="L28" s="73">
        <f t="shared" ref="L28:L34" si="9">K28/D28*100</f>
        <v>100</v>
      </c>
      <c r="N28" s="51">
        <v>51710000</v>
      </c>
      <c r="O28" s="36">
        <f t="shared" si="6"/>
        <v>-51710000</v>
      </c>
    </row>
    <row r="29" spans="1:15" ht="20.100000000000001" x14ac:dyDescent="0.25">
      <c r="A29" s="174"/>
      <c r="B29" s="178" t="s">
        <v>220</v>
      </c>
      <c r="C29" s="193" t="s">
        <v>61</v>
      </c>
      <c r="D29" s="146">
        <v>148880000</v>
      </c>
      <c r="E29" s="157">
        <f>D29/D27*100</f>
        <v>14.425517896246342</v>
      </c>
      <c r="F29" s="157">
        <v>100</v>
      </c>
      <c r="G29" s="157">
        <f t="shared" si="5"/>
        <v>0</v>
      </c>
      <c r="H29" s="157">
        <f t="shared" si="4"/>
        <v>0</v>
      </c>
      <c r="I29" s="137">
        <v>0</v>
      </c>
      <c r="J29" s="73">
        <f t="shared" si="7"/>
        <v>0</v>
      </c>
      <c r="K29" s="166">
        <f t="shared" si="8"/>
        <v>148880000</v>
      </c>
      <c r="L29" s="73">
        <f t="shared" si="9"/>
        <v>100</v>
      </c>
      <c r="N29" s="51">
        <v>122060000</v>
      </c>
      <c r="O29" s="36">
        <f t="shared" si="6"/>
        <v>-122060000</v>
      </c>
    </row>
    <row r="30" spans="1:15" ht="10.5" x14ac:dyDescent="0.25">
      <c r="A30" s="174"/>
      <c r="B30" s="178" t="s">
        <v>221</v>
      </c>
      <c r="C30" s="189" t="s">
        <v>63</v>
      </c>
      <c r="D30" s="146">
        <v>19630000</v>
      </c>
      <c r="E30" s="157">
        <f>D30/D27*100</f>
        <v>1.902021200317811</v>
      </c>
      <c r="F30" s="157">
        <v>100</v>
      </c>
      <c r="G30" s="157">
        <f t="shared" si="5"/>
        <v>0</v>
      </c>
      <c r="H30" s="157">
        <f t="shared" si="4"/>
        <v>0</v>
      </c>
      <c r="I30" s="137">
        <v>0</v>
      </c>
      <c r="J30" s="73">
        <f t="shared" si="7"/>
        <v>0</v>
      </c>
      <c r="K30" s="166">
        <f t="shared" si="8"/>
        <v>19630000</v>
      </c>
      <c r="L30" s="73">
        <f t="shared" si="9"/>
        <v>100</v>
      </c>
      <c r="N30" s="51">
        <v>20210000</v>
      </c>
      <c r="O30" s="36">
        <f t="shared" si="6"/>
        <v>-20210000</v>
      </c>
    </row>
    <row r="31" spans="1:15" ht="20.100000000000001" x14ac:dyDescent="0.25">
      <c r="A31" s="174"/>
      <c r="B31" s="178" t="s">
        <v>222</v>
      </c>
      <c r="C31" s="188" t="s">
        <v>65</v>
      </c>
      <c r="D31" s="138">
        <v>97180000</v>
      </c>
      <c r="E31" s="157">
        <f>D31/D27*100</f>
        <v>9.4161192178749289</v>
      </c>
      <c r="F31" s="157">
        <v>100</v>
      </c>
      <c r="G31" s="157">
        <f t="shared" si="5"/>
        <v>0</v>
      </c>
      <c r="H31" s="157">
        <f t="shared" si="4"/>
        <v>0</v>
      </c>
      <c r="I31" s="137">
        <v>0</v>
      </c>
      <c r="J31" s="73">
        <f t="shared" si="7"/>
        <v>0</v>
      </c>
      <c r="K31" s="166">
        <f t="shared" si="8"/>
        <v>97180000</v>
      </c>
      <c r="L31" s="73">
        <f t="shared" si="9"/>
        <v>100</v>
      </c>
      <c r="N31" s="51">
        <v>41250000</v>
      </c>
      <c r="O31" s="36">
        <f t="shared" si="6"/>
        <v>-41250000</v>
      </c>
    </row>
    <row r="32" spans="1:15" ht="20.100000000000001" x14ac:dyDescent="0.25">
      <c r="A32" s="174"/>
      <c r="B32" s="178" t="s">
        <v>223</v>
      </c>
      <c r="C32" s="188" t="s">
        <v>67</v>
      </c>
      <c r="D32" s="138">
        <v>566100000</v>
      </c>
      <c r="E32" s="157">
        <f>D32/D27*100</f>
        <v>54.851462124295104</v>
      </c>
      <c r="F32" s="157">
        <v>100</v>
      </c>
      <c r="G32" s="157">
        <f t="shared" si="5"/>
        <v>15.359477124183007</v>
      </c>
      <c r="H32" s="157">
        <f t="shared" si="4"/>
        <v>8.4248977772610125</v>
      </c>
      <c r="I32" s="137">
        <f>36950000+50000000</f>
        <v>86950000</v>
      </c>
      <c r="J32" s="73">
        <f t="shared" si="7"/>
        <v>15.359477124183007</v>
      </c>
      <c r="K32" s="166">
        <f t="shared" si="8"/>
        <v>479150000</v>
      </c>
      <c r="L32" s="73">
        <f t="shared" si="9"/>
        <v>84.640522875816998</v>
      </c>
      <c r="N32" s="51">
        <v>164604727</v>
      </c>
      <c r="O32" s="36">
        <f t="shared" si="6"/>
        <v>-77654727</v>
      </c>
    </row>
    <row r="33" spans="1:15" ht="20.100000000000001" x14ac:dyDescent="0.25">
      <c r="A33" s="174"/>
      <c r="B33" s="178" t="s">
        <v>224</v>
      </c>
      <c r="C33" s="188" t="s">
        <v>69</v>
      </c>
      <c r="D33" s="138">
        <v>49180000</v>
      </c>
      <c r="E33" s="157">
        <f>D33/D27*100</f>
        <v>4.7652268278976031</v>
      </c>
      <c r="F33" s="157">
        <v>100</v>
      </c>
      <c r="G33" s="157">
        <f t="shared" si="5"/>
        <v>25.376169174461161</v>
      </c>
      <c r="H33" s="157">
        <f t="shared" si="4"/>
        <v>1.209232021394105</v>
      </c>
      <c r="I33" s="137">
        <f>4160000+8320000</f>
        <v>12480000</v>
      </c>
      <c r="J33" s="73">
        <f t="shared" si="7"/>
        <v>25.376169174461161</v>
      </c>
      <c r="K33" s="166">
        <f t="shared" si="8"/>
        <v>36700000</v>
      </c>
      <c r="L33" s="73">
        <f t="shared" si="9"/>
        <v>74.623830825538846</v>
      </c>
      <c r="N33" s="51">
        <v>5500000</v>
      </c>
      <c r="O33" s="36">
        <f t="shared" si="6"/>
        <v>6980000</v>
      </c>
    </row>
    <row r="34" spans="1:15" ht="20.100000000000001" x14ac:dyDescent="0.25">
      <c r="A34" s="174"/>
      <c r="B34" s="178" t="s">
        <v>225</v>
      </c>
      <c r="C34" s="188" t="s">
        <v>71</v>
      </c>
      <c r="D34" s="138">
        <v>121640000</v>
      </c>
      <c r="E34" s="157">
        <f>D34/D27*100</f>
        <v>11.786136464934209</v>
      </c>
      <c r="F34" s="157">
        <v>100</v>
      </c>
      <c r="G34" s="157">
        <f t="shared" si="5"/>
        <v>18.086155869779677</v>
      </c>
      <c r="H34" s="157">
        <f t="shared" si="4"/>
        <v>2.1316590120729417</v>
      </c>
      <c r="I34" s="137">
        <v>22000000</v>
      </c>
      <c r="J34" s="73">
        <f t="shared" si="7"/>
        <v>18.086155869779677</v>
      </c>
      <c r="K34" s="166">
        <f t="shared" si="8"/>
        <v>99640000</v>
      </c>
      <c r="L34" s="73">
        <f t="shared" si="9"/>
        <v>81.913844130220326</v>
      </c>
      <c r="N34" s="51">
        <v>44189500</v>
      </c>
      <c r="O34" s="36">
        <f t="shared" si="6"/>
        <v>-22189500</v>
      </c>
    </row>
    <row r="35" spans="1:15" ht="10.5" x14ac:dyDescent="0.25">
      <c r="A35" s="174"/>
      <c r="B35" s="46"/>
      <c r="C35" s="47"/>
      <c r="D35" s="138"/>
      <c r="E35" s="157"/>
      <c r="F35" s="157"/>
      <c r="G35" s="157"/>
      <c r="H35" s="157"/>
      <c r="I35" s="139"/>
      <c r="J35" s="73"/>
      <c r="K35" s="166"/>
      <c r="L35" s="73"/>
      <c r="N35" s="51"/>
      <c r="O35" s="36">
        <f t="shared" si="6"/>
        <v>0</v>
      </c>
    </row>
    <row r="36" spans="1:15" ht="20.100000000000001" x14ac:dyDescent="0.25">
      <c r="A36" s="172" t="s">
        <v>72</v>
      </c>
      <c r="B36" s="180" t="s">
        <v>226</v>
      </c>
      <c r="C36" s="38" t="s">
        <v>74</v>
      </c>
      <c r="D36" s="140">
        <f>SUM(D37:D38)</f>
        <v>93160000</v>
      </c>
      <c r="E36" s="156">
        <f>D36/D14*100</f>
        <v>0.72956725327666549</v>
      </c>
      <c r="F36" s="156">
        <v>100</v>
      </c>
      <c r="G36" s="156">
        <f>J36</f>
        <v>0</v>
      </c>
      <c r="H36" s="156">
        <f>G36*E36/100</f>
        <v>0</v>
      </c>
      <c r="I36" s="140">
        <f>SUM(I37:I38)</f>
        <v>0</v>
      </c>
      <c r="J36" s="163">
        <f>I36/D36*100</f>
        <v>0</v>
      </c>
      <c r="K36" s="165">
        <f>D36-I36</f>
        <v>93160000</v>
      </c>
      <c r="L36" s="73">
        <f>K36/D36*100</f>
        <v>100</v>
      </c>
      <c r="N36" s="51"/>
      <c r="O36" s="36"/>
    </row>
    <row r="37" spans="1:15" ht="20.100000000000001" x14ac:dyDescent="0.25">
      <c r="A37" s="174"/>
      <c r="B37" s="181" t="s">
        <v>227</v>
      </c>
      <c r="C37" s="188" t="s">
        <v>76</v>
      </c>
      <c r="D37" s="138">
        <v>37980000</v>
      </c>
      <c r="E37" s="157">
        <f>D37/D36*100</f>
        <v>40.76857020180335</v>
      </c>
      <c r="F37" s="157">
        <v>100</v>
      </c>
      <c r="G37" s="157">
        <f t="shared" si="5"/>
        <v>0</v>
      </c>
      <c r="H37" s="157">
        <f t="shared" si="4"/>
        <v>0</v>
      </c>
      <c r="I37" s="137">
        <v>0</v>
      </c>
      <c r="J37" s="73">
        <f>I37/D37*100</f>
        <v>0</v>
      </c>
      <c r="K37" s="166">
        <f>D37-I37</f>
        <v>37980000</v>
      </c>
      <c r="L37" s="73">
        <f>K37/D37*100</f>
        <v>100</v>
      </c>
      <c r="N37" s="51"/>
      <c r="O37" s="36"/>
    </row>
    <row r="38" spans="1:15" ht="20.100000000000001" x14ac:dyDescent="0.25">
      <c r="A38" s="174"/>
      <c r="B38" s="178" t="s">
        <v>228</v>
      </c>
      <c r="C38" s="188" t="s">
        <v>78</v>
      </c>
      <c r="D38" s="138">
        <v>55180000</v>
      </c>
      <c r="E38" s="157">
        <f>D38/D36*100</f>
        <v>59.231429798196658</v>
      </c>
      <c r="F38" s="157">
        <v>100</v>
      </c>
      <c r="G38" s="157">
        <f t="shared" si="5"/>
        <v>0</v>
      </c>
      <c r="H38" s="157">
        <f t="shared" si="4"/>
        <v>0</v>
      </c>
      <c r="I38" s="137">
        <v>0</v>
      </c>
      <c r="J38" s="73">
        <f>I38/D38*100</f>
        <v>0</v>
      </c>
      <c r="K38" s="166">
        <f>D38-I38</f>
        <v>55180000</v>
      </c>
      <c r="L38" s="73">
        <f>K38/D38*100</f>
        <v>100</v>
      </c>
      <c r="N38" s="51"/>
      <c r="O38" s="36"/>
    </row>
    <row r="39" spans="1:15" ht="10.5" x14ac:dyDescent="0.25">
      <c r="A39" s="174"/>
      <c r="B39" s="46"/>
      <c r="C39" s="47"/>
      <c r="D39" s="138"/>
      <c r="E39" s="157"/>
      <c r="F39" s="157"/>
      <c r="G39" s="157"/>
      <c r="H39" s="157"/>
      <c r="I39" s="137"/>
      <c r="J39" s="73"/>
      <c r="K39" s="166"/>
      <c r="L39" s="73"/>
      <c r="N39" s="51"/>
      <c r="O39" s="36"/>
    </row>
    <row r="40" spans="1:15" ht="30" x14ac:dyDescent="0.25">
      <c r="A40" s="172" t="s">
        <v>79</v>
      </c>
      <c r="B40" s="180" t="s">
        <v>229</v>
      </c>
      <c r="C40" s="27" t="str">
        <f>[1]April!$C$184</f>
        <v>Program Peningkatan Kapasitas Sumber Daya Aparatur</v>
      </c>
      <c r="D40" s="144">
        <f>D41</f>
        <v>170400000</v>
      </c>
      <c r="E40" s="156">
        <f>D40/D14*100</f>
        <v>1.3344596388830379</v>
      </c>
      <c r="F40" s="156">
        <f>AVERAGE(F41)</f>
        <v>100</v>
      </c>
      <c r="G40" s="156">
        <f>J40</f>
        <v>6.5220011737089205</v>
      </c>
      <c r="H40" s="156">
        <f>G40*E40/100</f>
        <v>8.7033473310623555E-2</v>
      </c>
      <c r="I40" s="136">
        <f>I41</f>
        <v>11113490</v>
      </c>
      <c r="J40" s="163">
        <f>I40/D40*100</f>
        <v>6.5220011737089205</v>
      </c>
      <c r="K40" s="165">
        <f>D40-I40</f>
        <v>159286510</v>
      </c>
      <c r="L40" s="73">
        <f>K40/D40*100</f>
        <v>93.477998826291071</v>
      </c>
      <c r="N40" s="31">
        <v>181250000</v>
      </c>
      <c r="O40" s="36">
        <f t="shared" ref="O40:O48" si="10">I40-N40</f>
        <v>-170136510</v>
      </c>
    </row>
    <row r="41" spans="1:15" ht="20.100000000000001" x14ac:dyDescent="0.25">
      <c r="A41" s="174"/>
      <c r="B41" s="178" t="s">
        <v>230</v>
      </c>
      <c r="C41" s="47" t="str">
        <f>[1]April!$C$185</f>
        <v>Peningkatan Kemampuan Teknis Aparatur</v>
      </c>
      <c r="D41" s="138">
        <v>170400000</v>
      </c>
      <c r="E41" s="157">
        <f>D41/D40*100</f>
        <v>100</v>
      </c>
      <c r="F41" s="157">
        <v>100</v>
      </c>
      <c r="G41" s="157">
        <f t="shared" si="5"/>
        <v>6.5220011737089205</v>
      </c>
      <c r="H41" s="157">
        <f t="shared" si="4"/>
        <v>6.5220011737089205</v>
      </c>
      <c r="I41" s="137">
        <f>10000000+1000000+113490</f>
        <v>11113490</v>
      </c>
      <c r="J41" s="73">
        <f>I41/D41*100</f>
        <v>6.5220011737089205</v>
      </c>
      <c r="K41" s="166">
        <f>D41-I41</f>
        <v>159286510</v>
      </c>
      <c r="L41" s="73">
        <f>K41/D41*100</f>
        <v>93.477998826291071</v>
      </c>
      <c r="N41" s="51">
        <v>181250000</v>
      </c>
      <c r="O41" s="36">
        <f t="shared" si="10"/>
        <v>-170136510</v>
      </c>
    </row>
    <row r="42" spans="1:15" ht="10.5" x14ac:dyDescent="0.25">
      <c r="A42" s="174"/>
      <c r="B42" s="46"/>
      <c r="C42" s="47"/>
      <c r="D42" s="138"/>
      <c r="E42" s="157"/>
      <c r="F42" s="157"/>
      <c r="G42" s="157"/>
      <c r="H42" s="157"/>
      <c r="I42" s="137"/>
      <c r="J42" s="73"/>
      <c r="K42" s="166"/>
      <c r="L42" s="73"/>
      <c r="N42" s="51"/>
      <c r="O42" s="36">
        <f t="shared" si="10"/>
        <v>0</v>
      </c>
    </row>
    <row r="43" spans="1:15" ht="39.950000000000003" x14ac:dyDescent="0.25">
      <c r="A43" s="172" t="s">
        <v>82</v>
      </c>
      <c r="B43" s="180" t="s">
        <v>231</v>
      </c>
      <c r="C43" s="27" t="str">
        <f>[1]April!$C$201</f>
        <v>Program peningkatan pengembangan sistem pelaporan capaian kinerja dan keuangan</v>
      </c>
      <c r="D43" s="144">
        <f>SUM(D44:D50)</f>
        <v>1168800000</v>
      </c>
      <c r="E43" s="156">
        <f>D43/D14*100</f>
        <v>9.1532654103667532</v>
      </c>
      <c r="F43" s="156">
        <f>AVERAGE(F44:F48)</f>
        <v>100</v>
      </c>
      <c r="G43" s="156">
        <f>J43</f>
        <v>28.53664442162902</v>
      </c>
      <c r="H43" s="156">
        <f>G43*E43/100</f>
        <v>2.6120348031243226</v>
      </c>
      <c r="I43" s="136">
        <f>SUM(I44:I50)</f>
        <v>333536300</v>
      </c>
      <c r="J43" s="163">
        <f t="shared" ref="J43:J50" si="11">I43/D43*100</f>
        <v>28.53664442162902</v>
      </c>
      <c r="K43" s="165">
        <f t="shared" ref="K43:K48" si="12">D43-I43</f>
        <v>835263700</v>
      </c>
      <c r="L43" s="73">
        <f t="shared" ref="L43:L48" si="13">K43/D43*100</f>
        <v>71.46335557837098</v>
      </c>
      <c r="N43" s="31">
        <v>367965100</v>
      </c>
      <c r="O43" s="36">
        <f t="shared" si="10"/>
        <v>-34428800</v>
      </c>
    </row>
    <row r="44" spans="1:15" ht="30" x14ac:dyDescent="0.25">
      <c r="A44" s="174"/>
      <c r="B44" s="178" t="s">
        <v>232</v>
      </c>
      <c r="C44" s="188" t="str">
        <f>[1]April!$C$202</f>
        <v>Penyusunan laporan capaian kinerja dan ikhtisar realisasi kinerja SKPD</v>
      </c>
      <c r="D44" s="138">
        <v>75120000</v>
      </c>
      <c r="E44" s="157">
        <f>D44/D43*100</f>
        <v>6.4271047227926079</v>
      </c>
      <c r="F44" s="157">
        <v>100</v>
      </c>
      <c r="G44" s="157">
        <f t="shared" si="5"/>
        <v>25.825346112886049</v>
      </c>
      <c r="H44" s="157">
        <f t="shared" si="4"/>
        <v>1.6598220396988363</v>
      </c>
      <c r="I44" s="137">
        <f>5000000+3000000+5000000+6400000</f>
        <v>19400000</v>
      </c>
      <c r="J44" s="73">
        <f t="shared" si="11"/>
        <v>25.825346112886049</v>
      </c>
      <c r="K44" s="166">
        <f t="shared" si="12"/>
        <v>55720000</v>
      </c>
      <c r="L44" s="73">
        <f t="shared" si="13"/>
        <v>74.174653887113948</v>
      </c>
      <c r="N44" s="51">
        <v>68257500</v>
      </c>
      <c r="O44" s="36">
        <f t="shared" si="10"/>
        <v>-48857500</v>
      </c>
    </row>
    <row r="45" spans="1:15" ht="20.100000000000001" x14ac:dyDescent="0.25">
      <c r="A45" s="172"/>
      <c r="B45" s="178" t="s">
        <v>233</v>
      </c>
      <c r="C45" s="188" t="str">
        <f>[1]April!$C$213</f>
        <v>Penyusunan pelaporan keuangan semesteran</v>
      </c>
      <c r="D45" s="138">
        <v>40860000</v>
      </c>
      <c r="E45" s="157">
        <f>D45/D43*100</f>
        <v>3.4958932238193019</v>
      </c>
      <c r="F45" s="157">
        <v>100</v>
      </c>
      <c r="G45" s="157">
        <f t="shared" si="5"/>
        <v>18.007831620166424</v>
      </c>
      <c r="H45" s="157">
        <f t="shared" si="4"/>
        <v>0.62953456536618768</v>
      </c>
      <c r="I45" s="137">
        <v>7358000</v>
      </c>
      <c r="J45" s="73">
        <f t="shared" si="11"/>
        <v>18.007831620166424</v>
      </c>
      <c r="K45" s="166">
        <f t="shared" si="12"/>
        <v>33502000</v>
      </c>
      <c r="L45" s="73">
        <f t="shared" si="13"/>
        <v>81.992168379833572</v>
      </c>
      <c r="N45" s="51">
        <v>9057850</v>
      </c>
      <c r="O45" s="36">
        <f t="shared" si="10"/>
        <v>-1699850</v>
      </c>
    </row>
    <row r="46" spans="1:15" ht="20.100000000000001" x14ac:dyDescent="0.25">
      <c r="A46" s="174"/>
      <c r="B46" s="178" t="s">
        <v>234</v>
      </c>
      <c r="C46" s="188" t="str">
        <f>[1]April!$C$231</f>
        <v>penyusunan pelaporan keuangan akhir tahun</v>
      </c>
      <c r="D46" s="138">
        <v>17780000</v>
      </c>
      <c r="E46" s="157">
        <f>D46/D43*100</f>
        <v>1.5212183436002737</v>
      </c>
      <c r="F46" s="157">
        <v>100</v>
      </c>
      <c r="G46" s="157">
        <f t="shared" si="5"/>
        <v>73.221597300337464</v>
      </c>
      <c r="H46" s="157">
        <f t="shared" si="4"/>
        <v>1.1138603696098563</v>
      </c>
      <c r="I46" s="137">
        <f>11118800+1900000</f>
        <v>13018800</v>
      </c>
      <c r="J46" s="73">
        <f t="shared" si="11"/>
        <v>73.221597300337464</v>
      </c>
      <c r="K46" s="166">
        <f t="shared" si="12"/>
        <v>4761200</v>
      </c>
      <c r="L46" s="73">
        <f t="shared" si="13"/>
        <v>26.778402699662539</v>
      </c>
      <c r="N46" s="51">
        <v>10986750</v>
      </c>
      <c r="O46" s="36">
        <f t="shared" si="10"/>
        <v>2032050</v>
      </c>
    </row>
    <row r="47" spans="1:15" ht="20.100000000000001" x14ac:dyDescent="0.25">
      <c r="A47" s="174"/>
      <c r="B47" s="178" t="s">
        <v>235</v>
      </c>
      <c r="C47" s="188" t="str">
        <f>[1]April!$C$249</f>
        <v>Penyusunan Rencana Kerja dan Anggaran SKPD</v>
      </c>
      <c r="D47" s="138">
        <v>48590000</v>
      </c>
      <c r="E47" s="157">
        <f>D47/D43*100</f>
        <v>4.1572553045859006</v>
      </c>
      <c r="F47" s="157">
        <v>100</v>
      </c>
      <c r="G47" s="157">
        <f t="shared" si="5"/>
        <v>20.580366330520683</v>
      </c>
      <c r="H47" s="157">
        <f t="shared" si="4"/>
        <v>0.85557837097878175</v>
      </c>
      <c r="I47" s="137">
        <v>10000000</v>
      </c>
      <c r="J47" s="73">
        <f t="shared" si="11"/>
        <v>20.580366330520683</v>
      </c>
      <c r="K47" s="166">
        <f t="shared" si="12"/>
        <v>38590000</v>
      </c>
      <c r="L47" s="73">
        <f t="shared" si="13"/>
        <v>79.41963366947931</v>
      </c>
      <c r="N47" s="51">
        <v>178186000</v>
      </c>
      <c r="O47" s="36">
        <f t="shared" si="10"/>
        <v>-168186000</v>
      </c>
    </row>
    <row r="48" spans="1:15" ht="30" x14ac:dyDescent="0.25">
      <c r="A48" s="174"/>
      <c r="B48" s="178" t="s">
        <v>236</v>
      </c>
      <c r="C48" s="188" t="str">
        <f>[1]April!$C$266</f>
        <v>Penyediaan Data, Dokumentasi, Informatika dan Komunikasi SKPD</v>
      </c>
      <c r="D48" s="138">
        <v>805500000</v>
      </c>
      <c r="E48" s="157">
        <f>D48/D43*100</f>
        <v>68.916837782340863</v>
      </c>
      <c r="F48" s="157">
        <v>100</v>
      </c>
      <c r="G48" s="157">
        <f t="shared" si="5"/>
        <v>25.92427063935444</v>
      </c>
      <c r="H48" s="157">
        <f t="shared" si="4"/>
        <v>17.866187542778917</v>
      </c>
      <c r="I48" s="137">
        <f>28600000+180220000</f>
        <v>208820000</v>
      </c>
      <c r="J48" s="73">
        <f t="shared" si="11"/>
        <v>25.92427063935444</v>
      </c>
      <c r="K48" s="166">
        <f t="shared" si="12"/>
        <v>596680000</v>
      </c>
      <c r="L48" s="73">
        <f t="shared" si="13"/>
        <v>74.075729360645553</v>
      </c>
      <c r="N48" s="51">
        <v>68048000</v>
      </c>
      <c r="O48" s="36">
        <f t="shared" si="10"/>
        <v>140772000</v>
      </c>
    </row>
    <row r="49" spans="1:15" ht="20.100000000000001" x14ac:dyDescent="0.25">
      <c r="A49" s="174"/>
      <c r="B49" s="178" t="s">
        <v>237</v>
      </c>
      <c r="C49" s="188" t="s">
        <v>92</v>
      </c>
      <c r="D49" s="138">
        <v>83650000</v>
      </c>
      <c r="E49" s="157">
        <f>D49/D43*100</f>
        <v>7.1569130732375088</v>
      </c>
      <c r="F49" s="157">
        <v>100</v>
      </c>
      <c r="G49" s="157">
        <f t="shared" si="5"/>
        <v>81.637178720860732</v>
      </c>
      <c r="H49" s="157">
        <f t="shared" si="4"/>
        <v>5.8427019164955514</v>
      </c>
      <c r="I49" s="137">
        <f>63858000+4431500</f>
        <v>68289500</v>
      </c>
      <c r="J49" s="73">
        <f t="shared" si="11"/>
        <v>81.637178720860732</v>
      </c>
      <c r="K49" s="166">
        <f>D49-I49</f>
        <v>15360500</v>
      </c>
      <c r="L49" s="73">
        <f>K49/D49*100</f>
        <v>18.362821279139272</v>
      </c>
      <c r="N49" s="51"/>
      <c r="O49" s="36"/>
    </row>
    <row r="50" spans="1:15" ht="10.5" x14ac:dyDescent="0.25">
      <c r="A50" s="174"/>
      <c r="B50" s="178" t="s">
        <v>238</v>
      </c>
      <c r="C50" s="188" t="s">
        <v>197</v>
      </c>
      <c r="D50" s="138">
        <v>97300000</v>
      </c>
      <c r="E50" s="157">
        <f>D50/D43*100</f>
        <v>8.3247775496235459</v>
      </c>
      <c r="F50" s="157">
        <v>100</v>
      </c>
      <c r="G50" s="157">
        <f t="shared" si="5"/>
        <v>6.8345323741007196</v>
      </c>
      <c r="H50" s="157">
        <f t="shared" si="4"/>
        <v>0.5689596167008899</v>
      </c>
      <c r="I50" s="137">
        <f>5000000+1000000+650000</f>
        <v>6650000</v>
      </c>
      <c r="J50" s="73">
        <f t="shared" si="11"/>
        <v>6.8345323741007196</v>
      </c>
      <c r="K50" s="166">
        <f>D50-I50</f>
        <v>90650000</v>
      </c>
      <c r="L50" s="73">
        <f>K50/D50*100</f>
        <v>93.165467625899282</v>
      </c>
      <c r="N50" s="51"/>
      <c r="O50" s="36"/>
    </row>
    <row r="51" spans="1:15" ht="10.5" x14ac:dyDescent="0.25">
      <c r="A51" s="172"/>
      <c r="B51" s="26"/>
      <c r="C51" s="67"/>
      <c r="D51" s="147"/>
      <c r="E51" s="157"/>
      <c r="F51" s="157"/>
      <c r="G51" s="157"/>
      <c r="H51" s="157"/>
      <c r="I51" s="137"/>
      <c r="J51" s="73"/>
      <c r="K51" s="166"/>
      <c r="L51" s="73"/>
      <c r="N51" s="51"/>
      <c r="O51" s="36">
        <f>I51-N51</f>
        <v>0</v>
      </c>
    </row>
    <row r="52" spans="1:15" ht="20.100000000000001" x14ac:dyDescent="0.25">
      <c r="A52" s="172" t="s">
        <v>93</v>
      </c>
      <c r="B52" s="180" t="s">
        <v>239</v>
      </c>
      <c r="C52" s="27" t="str">
        <f>[1]April!$C$298</f>
        <v>Program pengembangan data/informasi</v>
      </c>
      <c r="D52" s="144">
        <f>SUM(D53:D56)</f>
        <v>910140000</v>
      </c>
      <c r="E52" s="156">
        <f>D52/D14*100</f>
        <v>7.1276120641608447</v>
      </c>
      <c r="F52" s="156">
        <f>AVERAGE(F55:F57)</f>
        <v>100</v>
      </c>
      <c r="G52" s="156">
        <f>J52</f>
        <v>6.3440789329114207</v>
      </c>
      <c r="H52" s="156">
        <f>G52*E52/100</f>
        <v>0.452181335382081</v>
      </c>
      <c r="I52" s="136">
        <f>SUM(I53:I56)</f>
        <v>57740000</v>
      </c>
      <c r="J52" s="163">
        <f>I52/D52*100</f>
        <v>6.3440789329114207</v>
      </c>
      <c r="K52" s="165">
        <f>D52-I52</f>
        <v>852400000</v>
      </c>
      <c r="L52" s="73">
        <f>K52/D52*100</f>
        <v>93.65592106708857</v>
      </c>
      <c r="N52" s="31">
        <v>1027715002</v>
      </c>
      <c r="O52" s="36">
        <f>I52-N52</f>
        <v>-969975002</v>
      </c>
    </row>
    <row r="53" spans="1:15" ht="39.950000000000003" x14ac:dyDescent="0.25">
      <c r="A53" s="172"/>
      <c r="B53" s="181" t="s">
        <v>242</v>
      </c>
      <c r="C53" s="188" t="s">
        <v>96</v>
      </c>
      <c r="D53" s="145">
        <v>172140000</v>
      </c>
      <c r="E53" s="157">
        <f>D53/D52*100</f>
        <v>18.913573735908763</v>
      </c>
      <c r="F53" s="157">
        <v>100</v>
      </c>
      <c r="G53" s="157">
        <f t="shared" si="5"/>
        <v>31.799697920297433</v>
      </c>
      <c r="H53" s="157">
        <f t="shared" si="4"/>
        <v>6.0144593139517006</v>
      </c>
      <c r="I53" s="137">
        <f>47630000+7110000</f>
        <v>54740000</v>
      </c>
      <c r="J53" s="73">
        <f>I53/D53*100</f>
        <v>31.799697920297433</v>
      </c>
      <c r="K53" s="166">
        <f>D53-I53</f>
        <v>117400000</v>
      </c>
      <c r="L53" s="73">
        <f>K53/D53*100</f>
        <v>68.200302079702567</v>
      </c>
      <c r="N53" s="31"/>
      <c r="O53" s="36"/>
    </row>
    <row r="54" spans="1:15" ht="39.950000000000003" x14ac:dyDescent="0.25">
      <c r="A54" s="172"/>
      <c r="B54" s="181" t="s">
        <v>243</v>
      </c>
      <c r="C54" s="188" t="s">
        <v>98</v>
      </c>
      <c r="D54" s="145">
        <v>296100000</v>
      </c>
      <c r="E54" s="157">
        <f>D54/D52*100</f>
        <v>32.533456391324414</v>
      </c>
      <c r="F54" s="157">
        <v>100</v>
      </c>
      <c r="G54" s="157">
        <f t="shared" si="5"/>
        <v>0</v>
      </c>
      <c r="H54" s="157">
        <f t="shared" si="4"/>
        <v>0</v>
      </c>
      <c r="I54" s="137">
        <v>0</v>
      </c>
      <c r="J54" s="73">
        <f>I54/D54*100</f>
        <v>0</v>
      </c>
      <c r="K54" s="166">
        <f>D54-I54</f>
        <v>296100000</v>
      </c>
      <c r="L54" s="73">
        <f>K54/D54*100</f>
        <v>100</v>
      </c>
      <c r="N54" s="31"/>
      <c r="O54" s="36"/>
    </row>
    <row r="55" spans="1:15" ht="30" x14ac:dyDescent="0.25">
      <c r="A55" s="174"/>
      <c r="B55" s="181" t="s">
        <v>244</v>
      </c>
      <c r="C55" s="188" t="str">
        <f>[1]April!$C$320</f>
        <v>Penyusunan dan anlisis data/informasi perencanaan pembangunan ekonomi</v>
      </c>
      <c r="D55" s="138">
        <v>245260000</v>
      </c>
      <c r="E55" s="157">
        <f>D55/D52*100</f>
        <v>26.947502582020348</v>
      </c>
      <c r="F55" s="157">
        <v>100</v>
      </c>
      <c r="G55" s="157">
        <f t="shared" si="5"/>
        <v>1.2231917149147844</v>
      </c>
      <c r="H55" s="157">
        <f t="shared" si="4"/>
        <v>0.32961961895972053</v>
      </c>
      <c r="I55" s="137">
        <v>3000000</v>
      </c>
      <c r="J55" s="73">
        <f>I55/D55*100</f>
        <v>1.2231917149147844</v>
      </c>
      <c r="K55" s="166">
        <f>D55-I55</f>
        <v>242260000</v>
      </c>
      <c r="L55" s="73">
        <f>K55/D55*100</f>
        <v>98.77680828508521</v>
      </c>
      <c r="N55" s="51">
        <v>252795000</v>
      </c>
      <c r="O55" s="36">
        <f>I55-N55</f>
        <v>-249795000</v>
      </c>
    </row>
    <row r="56" spans="1:15" ht="10.5" x14ac:dyDescent="0.25">
      <c r="A56" s="174"/>
      <c r="B56" s="181" t="s">
        <v>245</v>
      </c>
      <c r="C56" s="188" t="str">
        <f>[1]April!$C$337</f>
        <v>Penyusunan profile daerah</v>
      </c>
      <c r="D56" s="138">
        <v>196640000</v>
      </c>
      <c r="E56" s="157">
        <f>D56/D52*100</f>
        <v>21.605467290746478</v>
      </c>
      <c r="F56" s="157">
        <v>100</v>
      </c>
      <c r="G56" s="157">
        <f t="shared" si="5"/>
        <v>0</v>
      </c>
      <c r="H56" s="157">
        <f t="shared" si="4"/>
        <v>0</v>
      </c>
      <c r="I56" s="137">
        <v>0</v>
      </c>
      <c r="J56" s="73">
        <f>I56/D56*100</f>
        <v>0</v>
      </c>
      <c r="K56" s="166">
        <f>D56-I56</f>
        <v>196640000</v>
      </c>
      <c r="L56" s="73">
        <f>K56/D56*100</f>
        <v>100</v>
      </c>
      <c r="N56" s="51">
        <v>362347000</v>
      </c>
      <c r="O56" s="36">
        <f>I56-N56</f>
        <v>-362347000</v>
      </c>
    </row>
    <row r="57" spans="1:15" ht="10.5" x14ac:dyDescent="0.25">
      <c r="A57" s="174"/>
      <c r="B57" s="46"/>
      <c r="C57" s="47"/>
      <c r="D57" s="148"/>
      <c r="E57" s="157"/>
      <c r="F57" s="157"/>
      <c r="G57" s="157"/>
      <c r="H57" s="157"/>
      <c r="I57" s="137"/>
      <c r="J57" s="73"/>
      <c r="K57" s="166"/>
      <c r="L57" s="73"/>
      <c r="N57" s="51"/>
      <c r="O57" s="36">
        <f>I57-N57</f>
        <v>0</v>
      </c>
    </row>
    <row r="58" spans="1:15" ht="20.100000000000001" x14ac:dyDescent="0.25">
      <c r="A58" s="172" t="s">
        <v>101</v>
      </c>
      <c r="B58" s="180" t="s">
        <v>240</v>
      </c>
      <c r="C58" s="27" t="str">
        <f>[2]Sheet1!$I$55</f>
        <v>Program Kerjasama Pembangunan</v>
      </c>
      <c r="D58" s="144">
        <f>D59</f>
        <v>283730000</v>
      </c>
      <c r="E58" s="156">
        <f>D58/D14*100</f>
        <v>2.2219849374429832</v>
      </c>
      <c r="F58" s="156">
        <f>AVERAGE(F59)</f>
        <v>100</v>
      </c>
      <c r="G58" s="156">
        <f t="shared" si="5"/>
        <v>12.2780460296761</v>
      </c>
      <c r="H58" s="156">
        <f t="shared" si="4"/>
        <v>0.27281633339171912</v>
      </c>
      <c r="I58" s="136">
        <f>I59</f>
        <v>34836500</v>
      </c>
      <c r="J58" s="163">
        <f>I58/D58*100</f>
        <v>12.2780460296761</v>
      </c>
      <c r="K58" s="165">
        <f>D58-I58</f>
        <v>248893500</v>
      </c>
      <c r="L58" s="73">
        <f>K58/D58*100</f>
        <v>87.721953970323895</v>
      </c>
      <c r="N58" s="31">
        <v>633632330</v>
      </c>
      <c r="O58" s="36">
        <f>I58-N58</f>
        <v>-598795830</v>
      </c>
    </row>
    <row r="59" spans="1:15" ht="20.100000000000001" x14ac:dyDescent="0.25">
      <c r="A59" s="174"/>
      <c r="B59" s="181" t="s">
        <v>246</v>
      </c>
      <c r="C59" s="47" t="str">
        <f>[2]Sheet1!$I$56</f>
        <v>Koordinasi dalam pemecahan masalah-masalah daerah</v>
      </c>
      <c r="D59" s="148">
        <v>283730000</v>
      </c>
      <c r="E59" s="157">
        <f>D59/D58*100</f>
        <v>100</v>
      </c>
      <c r="F59" s="157">
        <v>100</v>
      </c>
      <c r="G59" s="157">
        <f t="shared" si="5"/>
        <v>12.2780460296761</v>
      </c>
      <c r="H59" s="157">
        <f t="shared" si="4"/>
        <v>12.2780460296761</v>
      </c>
      <c r="I59" s="137">
        <f>9400000+15936500+9500000</f>
        <v>34836500</v>
      </c>
      <c r="J59" s="73">
        <f>I59/D59*100</f>
        <v>12.2780460296761</v>
      </c>
      <c r="K59" s="166">
        <f>D59-I59</f>
        <v>248893500</v>
      </c>
      <c r="L59" s="73">
        <f>K59/D59*100</f>
        <v>87.721953970323895</v>
      </c>
      <c r="N59" s="51">
        <v>633632330</v>
      </c>
      <c r="O59" s="36">
        <f>I59-N59</f>
        <v>-598795830</v>
      </c>
    </row>
    <row r="60" spans="1:15" ht="10.5" x14ac:dyDescent="0.25">
      <c r="A60" s="172"/>
      <c r="B60" s="26"/>
      <c r="C60" s="67"/>
      <c r="D60" s="150"/>
      <c r="E60" s="156"/>
      <c r="F60" s="156"/>
      <c r="G60" s="157"/>
      <c r="H60" s="157"/>
      <c r="I60" s="137"/>
      <c r="J60" s="73"/>
      <c r="K60" s="166"/>
      <c r="L60" s="73"/>
      <c r="N60" s="51"/>
      <c r="O60" s="36"/>
    </row>
    <row r="61" spans="1:15" ht="20.100000000000001" x14ac:dyDescent="0.25">
      <c r="A61" s="172" t="s">
        <v>104</v>
      </c>
      <c r="B61" s="180" t="s">
        <v>241</v>
      </c>
      <c r="C61" s="67" t="s">
        <v>106</v>
      </c>
      <c r="D61" s="139">
        <f>D62</f>
        <v>132870000</v>
      </c>
      <c r="E61" s="156">
        <f>D61/D14*100</f>
        <v>1.040549602220594</v>
      </c>
      <c r="F61" s="156">
        <f>AVERAGE(F62)</f>
        <v>100</v>
      </c>
      <c r="G61" s="156">
        <f>J61</f>
        <v>12.053134642884022</v>
      </c>
      <c r="H61" s="156">
        <f>G61*E61/100</f>
        <v>0.12541884458164229</v>
      </c>
      <c r="I61" s="139">
        <f>I62</f>
        <v>16015000</v>
      </c>
      <c r="J61" s="163">
        <f>I61/D61*100</f>
        <v>12.053134642884022</v>
      </c>
      <c r="K61" s="165">
        <f>D61-I61</f>
        <v>116855000</v>
      </c>
      <c r="L61" s="73">
        <f>K61/D61*100</f>
        <v>87.946865357115982</v>
      </c>
      <c r="N61" s="51"/>
      <c r="O61" s="36"/>
    </row>
    <row r="62" spans="1:15" ht="20.100000000000001" x14ac:dyDescent="0.25">
      <c r="A62" s="172"/>
      <c r="B62" s="181" t="s">
        <v>247</v>
      </c>
      <c r="C62" s="52" t="s">
        <v>199</v>
      </c>
      <c r="D62" s="137">
        <v>132870000</v>
      </c>
      <c r="E62" s="157">
        <f>D62/D61*100</f>
        <v>100</v>
      </c>
      <c r="F62" s="157">
        <v>100</v>
      </c>
      <c r="G62" s="157">
        <f>J62</f>
        <v>12.053134642884022</v>
      </c>
      <c r="H62" s="157">
        <f>G62*E62/100</f>
        <v>12.053134642884022</v>
      </c>
      <c r="I62" s="137">
        <v>16015000</v>
      </c>
      <c r="J62" s="73">
        <f>I62/D62*100</f>
        <v>12.053134642884022</v>
      </c>
      <c r="K62" s="166">
        <f>D62-I62</f>
        <v>116855000</v>
      </c>
      <c r="L62" s="73">
        <f>K62/D62*100</f>
        <v>87.946865357115982</v>
      </c>
      <c r="N62" s="51"/>
      <c r="O62" s="36"/>
    </row>
    <row r="63" spans="1:15" ht="10.5" x14ac:dyDescent="0.25">
      <c r="A63" s="172"/>
      <c r="B63" s="46"/>
      <c r="C63" s="52"/>
      <c r="D63" s="137"/>
      <c r="E63" s="157"/>
      <c r="F63" s="157"/>
      <c r="G63" s="157"/>
      <c r="H63" s="157"/>
      <c r="I63" s="137"/>
      <c r="J63" s="73"/>
      <c r="K63" s="166"/>
      <c r="L63" s="73"/>
      <c r="N63" s="51"/>
      <c r="O63" s="36"/>
    </row>
    <row r="64" spans="1:15" ht="30" x14ac:dyDescent="0.25">
      <c r="A64" s="172" t="s">
        <v>115</v>
      </c>
      <c r="B64" s="180" t="s">
        <v>248</v>
      </c>
      <c r="C64" s="27" t="s">
        <v>112</v>
      </c>
      <c r="D64" s="144">
        <f>D65</f>
        <v>174480000</v>
      </c>
      <c r="E64" s="156">
        <f>D64/D14*100</f>
        <v>1.3664114893915047</v>
      </c>
      <c r="F64" s="156">
        <f>AVERAGE(F65)</f>
        <v>100</v>
      </c>
      <c r="G64" s="156">
        <f>J64</f>
        <v>0</v>
      </c>
      <c r="H64" s="156">
        <f>G64*E64/100</f>
        <v>0</v>
      </c>
      <c r="I64" s="136">
        <f>I65</f>
        <v>0</v>
      </c>
      <c r="J64" s="163">
        <f>I64/D64*100</f>
        <v>0</v>
      </c>
      <c r="K64" s="165">
        <f>D64-I64</f>
        <v>174480000</v>
      </c>
      <c r="L64" s="73">
        <f>K64/D64*100</f>
        <v>100</v>
      </c>
      <c r="N64" s="51"/>
      <c r="O64" s="36"/>
    </row>
    <row r="65" spans="1:15" ht="30" x14ac:dyDescent="0.25">
      <c r="A65" s="172"/>
      <c r="B65" s="181" t="s">
        <v>249</v>
      </c>
      <c r="C65" s="47" t="s">
        <v>291</v>
      </c>
      <c r="D65" s="148">
        <v>174480000</v>
      </c>
      <c r="E65" s="157">
        <f>D65/D64*100</f>
        <v>100</v>
      </c>
      <c r="F65" s="157">
        <v>100</v>
      </c>
      <c r="G65" s="157">
        <f>J65</f>
        <v>0</v>
      </c>
      <c r="H65" s="157">
        <f>G65*E65/100</f>
        <v>0</v>
      </c>
      <c r="I65" s="137">
        <v>0</v>
      </c>
      <c r="J65" s="73">
        <f>I65/D65*100</f>
        <v>0</v>
      </c>
      <c r="K65" s="166">
        <f>D65-I65</f>
        <v>174480000</v>
      </c>
      <c r="L65" s="73">
        <f>K65/D65*100</f>
        <v>100</v>
      </c>
      <c r="N65" s="51"/>
      <c r="O65" s="36"/>
    </row>
    <row r="66" spans="1:15" ht="10.5" x14ac:dyDescent="0.25">
      <c r="A66" s="172"/>
      <c r="B66" s="26"/>
      <c r="C66" s="67"/>
      <c r="D66" s="150"/>
      <c r="E66" s="156"/>
      <c r="F66" s="156"/>
      <c r="G66" s="157"/>
      <c r="H66" s="157"/>
      <c r="I66" s="137"/>
      <c r="J66" s="73"/>
      <c r="K66" s="166"/>
      <c r="L66" s="73"/>
      <c r="N66" s="51"/>
      <c r="O66" s="36"/>
    </row>
    <row r="67" spans="1:15" ht="30" x14ac:dyDescent="0.25">
      <c r="A67" s="172" t="s">
        <v>121</v>
      </c>
      <c r="B67" s="180" t="s">
        <v>250</v>
      </c>
      <c r="C67" s="27" t="s">
        <v>117</v>
      </c>
      <c r="D67" s="144">
        <f>SUM(D68:D70)</f>
        <v>736280000</v>
      </c>
      <c r="E67" s="156">
        <f>D67/D14*100</f>
        <v>5.7660560030328813</v>
      </c>
      <c r="F67" s="156">
        <v>100</v>
      </c>
      <c r="G67" s="156">
        <f>J67</f>
        <v>4.0235372412669088</v>
      </c>
      <c r="H67" s="156">
        <f>G67*E67/100</f>
        <v>0.23199941063433419</v>
      </c>
      <c r="I67" s="136">
        <f>SUM(I68:I70)</f>
        <v>29624500</v>
      </c>
      <c r="J67" s="163">
        <f>I67/D67*100</f>
        <v>4.0235372412669088</v>
      </c>
      <c r="K67" s="165">
        <f>D67-I67</f>
        <v>706655500</v>
      </c>
      <c r="L67" s="73">
        <f>K67/D67*100</f>
        <v>95.976462758733092</v>
      </c>
      <c r="N67" s="31">
        <v>633632330</v>
      </c>
      <c r="O67" s="36">
        <f t="shared" ref="O67:O78" si="14">I67-N67</f>
        <v>-604007830</v>
      </c>
    </row>
    <row r="68" spans="1:15" ht="30" x14ac:dyDescent="0.25">
      <c r="A68" s="172"/>
      <c r="B68" s="181" t="s">
        <v>251</v>
      </c>
      <c r="C68" s="189" t="str">
        <f>[2]Sheet1!$I$59</f>
        <v>Koordinasi penyelesaian permasalahan transportasi perkotaan</v>
      </c>
      <c r="D68" s="151">
        <v>296840000</v>
      </c>
      <c r="E68" s="157">
        <f>D68/D67*100</f>
        <v>40.3161840604118</v>
      </c>
      <c r="F68" s="157">
        <v>100</v>
      </c>
      <c r="G68" s="157">
        <f>J68</f>
        <v>0</v>
      </c>
      <c r="H68" s="157">
        <f>G68*E68/100</f>
        <v>0</v>
      </c>
      <c r="I68" s="137">
        <v>0</v>
      </c>
      <c r="J68" s="73">
        <f>I68/D68*100</f>
        <v>0</v>
      </c>
      <c r="K68" s="166">
        <f>D68-I68</f>
        <v>296840000</v>
      </c>
      <c r="L68" s="73">
        <f>K68/D68*100</f>
        <v>100</v>
      </c>
      <c r="N68" s="51">
        <v>66755000</v>
      </c>
      <c r="O68" s="36">
        <f t="shared" si="14"/>
        <v>-66755000</v>
      </c>
    </row>
    <row r="69" spans="1:15" ht="20.100000000000001" x14ac:dyDescent="0.25">
      <c r="A69" s="174"/>
      <c r="B69" s="181" t="s">
        <v>252</v>
      </c>
      <c r="C69" s="188" t="str">
        <f>[2]Sheet1!$I$61</f>
        <v>Koordinasi perencanaan penanganan perumahan</v>
      </c>
      <c r="D69" s="151">
        <v>221630000</v>
      </c>
      <c r="E69" s="157">
        <f>D69/D67*100</f>
        <v>30.101320149942957</v>
      </c>
      <c r="F69" s="157">
        <v>100</v>
      </c>
      <c r="G69" s="157">
        <f t="shared" si="5"/>
        <v>8.0153860036998612</v>
      </c>
      <c r="H69" s="157">
        <f t="shared" si="4"/>
        <v>2.4127370022274137</v>
      </c>
      <c r="I69" s="137">
        <f>11879500+5225000+660000</f>
        <v>17764500</v>
      </c>
      <c r="J69" s="73">
        <f>I69/D69*100</f>
        <v>8.0153860036998612</v>
      </c>
      <c r="K69" s="166">
        <f>D69-I69</f>
        <v>203865500</v>
      </c>
      <c r="L69" s="73">
        <f>K69/D69*100</f>
        <v>91.984613996300141</v>
      </c>
      <c r="N69" s="51">
        <v>153047000</v>
      </c>
      <c r="O69" s="36">
        <f t="shared" si="14"/>
        <v>-135282500</v>
      </c>
    </row>
    <row r="70" spans="1:15" ht="30" x14ac:dyDescent="0.25">
      <c r="A70" s="172"/>
      <c r="B70" s="181" t="s">
        <v>253</v>
      </c>
      <c r="C70" s="189" t="str">
        <f>[2]Sheet1!$I$62</f>
        <v>Koordinasi perencanaan air minum, drainase dan sanitasi perkotaan</v>
      </c>
      <c r="D70" s="151">
        <v>217810000</v>
      </c>
      <c r="E70" s="157">
        <f>D70/D67*100</f>
        <v>29.58249578964524</v>
      </c>
      <c r="F70" s="157">
        <v>100</v>
      </c>
      <c r="G70" s="157">
        <f t="shared" si="5"/>
        <v>5.4451127129149253</v>
      </c>
      <c r="H70" s="157">
        <f t="shared" si="4"/>
        <v>1.6108002390394955</v>
      </c>
      <c r="I70" s="137">
        <f>3380000+8480000</f>
        <v>11860000</v>
      </c>
      <c r="J70" s="73">
        <f>I70/D70*100</f>
        <v>5.4451127129149253</v>
      </c>
      <c r="K70" s="166">
        <f>D70-I70</f>
        <v>205950000</v>
      </c>
      <c r="L70" s="73">
        <f>K70/D70*100</f>
        <v>94.55488728708508</v>
      </c>
      <c r="N70" s="51">
        <v>121131500</v>
      </c>
      <c r="O70" s="36">
        <f t="shared" si="14"/>
        <v>-109271500</v>
      </c>
    </row>
    <row r="71" spans="1:15" ht="10.5" x14ac:dyDescent="0.25">
      <c r="A71" s="172"/>
      <c r="B71" s="46"/>
      <c r="C71" s="47"/>
      <c r="D71" s="151"/>
      <c r="E71" s="157"/>
      <c r="F71" s="157"/>
      <c r="G71" s="157"/>
      <c r="H71" s="157"/>
      <c r="I71" s="137"/>
      <c r="J71" s="73"/>
      <c r="K71" s="166"/>
      <c r="L71" s="73"/>
      <c r="N71" s="51"/>
      <c r="O71" s="36">
        <f t="shared" si="14"/>
        <v>0</v>
      </c>
    </row>
    <row r="72" spans="1:15" ht="39.950000000000003" x14ac:dyDescent="0.25">
      <c r="A72" s="172" t="s">
        <v>125</v>
      </c>
      <c r="B72" s="180" t="s">
        <v>254</v>
      </c>
      <c r="C72" s="27" t="str">
        <f>[2]Sheet1!$I$64</f>
        <v>Program peningkatan kapasitas kelembagaan perencanaan pembangunan daerah</v>
      </c>
      <c r="D72" s="144">
        <f>SUM(D73:D75)</f>
        <v>528220000</v>
      </c>
      <c r="E72" s="156">
        <f>D72/D14*100</f>
        <v>4.1366682538192379</v>
      </c>
      <c r="F72" s="156">
        <f>AVERAGE(F73:F75)</f>
        <v>100</v>
      </c>
      <c r="G72" s="156">
        <f>J72</f>
        <v>63.787985498466547</v>
      </c>
      <c r="H72" s="156">
        <f>G72*E72/100</f>
        <v>2.6386973458658849</v>
      </c>
      <c r="I72" s="136">
        <f>SUM(I73:I75)</f>
        <v>336940897</v>
      </c>
      <c r="J72" s="163">
        <f>I72/D72*100</f>
        <v>63.787985498466547</v>
      </c>
      <c r="K72" s="165">
        <f>D72-I72</f>
        <v>191279103</v>
      </c>
      <c r="L72" s="73">
        <f>K72/D72*100</f>
        <v>36.212014501533453</v>
      </c>
      <c r="N72" s="31">
        <v>331627654</v>
      </c>
      <c r="O72" s="36">
        <f t="shared" si="14"/>
        <v>5313243</v>
      </c>
    </row>
    <row r="73" spans="1:15" ht="20.100000000000001" x14ac:dyDescent="0.25">
      <c r="A73" s="172"/>
      <c r="B73" s="181" t="s">
        <v>255</v>
      </c>
      <c r="C73" s="189" t="str">
        <f>[2]Sheet1!$I$65</f>
        <v>Peningkatan kemampuan teknis aparat perencana</v>
      </c>
      <c r="D73" s="151">
        <v>131360000</v>
      </c>
      <c r="E73" s="157">
        <f>D73/D72*100</f>
        <v>24.868426034606792</v>
      </c>
      <c r="F73" s="157">
        <v>100</v>
      </c>
      <c r="G73" s="157">
        <f>J73</f>
        <v>45.435047198538371</v>
      </c>
      <c r="H73" s="157">
        <f>G73*E73/100</f>
        <v>11.2989811063572</v>
      </c>
      <c r="I73" s="137">
        <v>59683478</v>
      </c>
      <c r="J73" s="73">
        <f>I73/D73*100</f>
        <v>45.435047198538371</v>
      </c>
      <c r="K73" s="166">
        <f>D73-I73</f>
        <v>71676522</v>
      </c>
      <c r="L73" s="73">
        <f>K73/D73*100</f>
        <v>54.564952801461629</v>
      </c>
      <c r="N73" s="51">
        <v>138878874</v>
      </c>
      <c r="O73" s="36">
        <f t="shared" si="14"/>
        <v>-79195396</v>
      </c>
    </row>
    <row r="74" spans="1:15" ht="20.100000000000001" x14ac:dyDescent="0.25">
      <c r="A74" s="172"/>
      <c r="B74" s="181" t="s">
        <v>256</v>
      </c>
      <c r="C74" s="189" t="s">
        <v>200</v>
      </c>
      <c r="D74" s="151">
        <v>239520000</v>
      </c>
      <c r="E74" s="157">
        <f>D74/D72*100</f>
        <v>45.344742720836017</v>
      </c>
      <c r="F74" s="157">
        <v>100</v>
      </c>
      <c r="G74" s="157">
        <f t="shared" si="5"/>
        <v>84.93796718436873</v>
      </c>
      <c r="H74" s="157">
        <f>G74*E74/100</f>
        <v>38.514902692060126</v>
      </c>
      <c r="I74" s="137">
        <f>45814000+157629419</f>
        <v>203443419</v>
      </c>
      <c r="J74" s="73">
        <f>I74/D74*100</f>
        <v>84.93796718436873</v>
      </c>
      <c r="K74" s="166">
        <f>D74-I74</f>
        <v>36076581</v>
      </c>
      <c r="L74" s="73">
        <f>K74/D74*100</f>
        <v>15.062032815631262</v>
      </c>
      <c r="N74" s="51"/>
      <c r="O74" s="36"/>
    </row>
    <row r="75" spans="1:15" ht="30" x14ac:dyDescent="0.25">
      <c r="A75" s="172"/>
      <c r="B75" s="181" t="s">
        <v>257</v>
      </c>
      <c r="C75" s="189" t="str">
        <f>[2]Sheet1!$I$67</f>
        <v>Bimbingan teknis tentang perencanan pembangunan daerah</v>
      </c>
      <c r="D75" s="151">
        <v>157340000</v>
      </c>
      <c r="E75" s="157">
        <f>D75/D72*100</f>
        <v>29.786831244557195</v>
      </c>
      <c r="F75" s="157">
        <v>100</v>
      </c>
      <c r="G75" s="157">
        <f t="shared" si="5"/>
        <v>46.913690097877208</v>
      </c>
      <c r="H75" s="157">
        <f t="shared" si="4"/>
        <v>13.974101700049223</v>
      </c>
      <c r="I75" s="137">
        <f>17044000+45814000+10956000</f>
        <v>73814000</v>
      </c>
      <c r="J75" s="73">
        <f>I75/D75*100</f>
        <v>46.913690097877208</v>
      </c>
      <c r="K75" s="166">
        <f>D75-I75</f>
        <v>83526000</v>
      </c>
      <c r="L75" s="73">
        <f>K75/D75*100</f>
        <v>53.0863099021228</v>
      </c>
      <c r="N75" s="51">
        <v>148680000</v>
      </c>
      <c r="O75" s="36">
        <f t="shared" si="14"/>
        <v>-74866000</v>
      </c>
    </row>
    <row r="76" spans="1:15" ht="10.5" x14ac:dyDescent="0.25">
      <c r="A76" s="172"/>
      <c r="B76" s="46"/>
      <c r="C76" s="74"/>
      <c r="D76" s="151"/>
      <c r="E76" s="157"/>
      <c r="F76" s="157"/>
      <c r="G76" s="157"/>
      <c r="H76" s="157"/>
      <c r="I76" s="137"/>
      <c r="J76" s="73"/>
      <c r="K76" s="166"/>
      <c r="L76" s="73"/>
      <c r="N76" s="51"/>
      <c r="O76" s="36">
        <f t="shared" si="14"/>
        <v>0</v>
      </c>
    </row>
    <row r="77" spans="1:15" ht="20.100000000000001" x14ac:dyDescent="0.25">
      <c r="A77" s="172" t="s">
        <v>141</v>
      </c>
      <c r="B77" s="180" t="s">
        <v>258</v>
      </c>
      <c r="C77" s="27" t="str">
        <f>[2]Sheet1!$I$69</f>
        <v>Program perencanaan pembangunan daerah</v>
      </c>
      <c r="D77" s="144">
        <f>SUM(D78:D88)</f>
        <v>2874220000</v>
      </c>
      <c r="E77" s="156">
        <f>D77/D14*100</f>
        <v>22.508982296187821</v>
      </c>
      <c r="F77" s="156">
        <f>AVERAGE(F78:F86)</f>
        <v>100</v>
      </c>
      <c r="G77" s="156">
        <f>J77</f>
        <v>26.98626771785041</v>
      </c>
      <c r="H77" s="156">
        <f>G77*E77/100</f>
        <v>6.074334223012797</v>
      </c>
      <c r="I77" s="136">
        <f>SUM(I78:I88)</f>
        <v>775644704</v>
      </c>
      <c r="J77" s="163">
        <f t="shared" ref="J77:J88" si="15">I77/D77*100</f>
        <v>26.98626771785041</v>
      </c>
      <c r="K77" s="165">
        <f t="shared" ref="K77:K88" si="16">D77-I77</f>
        <v>2098575296</v>
      </c>
      <c r="L77" s="73">
        <f t="shared" ref="L77:L88" si="17">K77/D77*100</f>
        <v>73.01373228214959</v>
      </c>
      <c r="N77" s="31">
        <v>2806063016</v>
      </c>
      <c r="O77" s="36">
        <f t="shared" si="14"/>
        <v>-2030418312</v>
      </c>
    </row>
    <row r="78" spans="1:15" ht="39.950000000000003" x14ac:dyDescent="0.25">
      <c r="A78" s="172"/>
      <c r="B78" s="181" t="s">
        <v>259</v>
      </c>
      <c r="C78" s="189" t="str">
        <f>[2]Sheet1!$I$70</f>
        <v>Pengembangan partisipasi masyarakat dalam perumusan program dan kebijakan layanan publik</v>
      </c>
      <c r="D78" s="151">
        <v>200440000</v>
      </c>
      <c r="E78" s="157">
        <f>D78/D77*100</f>
        <v>6.9737180869940367</v>
      </c>
      <c r="F78" s="157">
        <v>100</v>
      </c>
      <c r="G78" s="157">
        <f>J78</f>
        <v>2.0065855118738778</v>
      </c>
      <c r="H78" s="157">
        <f>G78*E78/100</f>
        <v>0.13993361677255048</v>
      </c>
      <c r="I78" s="137">
        <v>4022000</v>
      </c>
      <c r="J78" s="73">
        <f t="shared" si="15"/>
        <v>2.0065855118738778</v>
      </c>
      <c r="K78" s="166">
        <f t="shared" si="16"/>
        <v>196418000</v>
      </c>
      <c r="L78" s="73">
        <f t="shared" si="17"/>
        <v>97.99341448812612</v>
      </c>
      <c r="N78" s="75">
        <v>160465000</v>
      </c>
      <c r="O78" s="36">
        <f t="shared" si="14"/>
        <v>-156443000</v>
      </c>
    </row>
    <row r="79" spans="1:15" ht="10.5" x14ac:dyDescent="0.25">
      <c r="A79" s="172"/>
      <c r="B79" s="181" t="s">
        <v>260</v>
      </c>
      <c r="C79" s="189" t="s">
        <v>129</v>
      </c>
      <c r="D79" s="151">
        <v>372990000</v>
      </c>
      <c r="E79" s="157">
        <f>D79/D77*100</f>
        <v>12.977085957233614</v>
      </c>
      <c r="F79" s="157">
        <v>100</v>
      </c>
      <c r="G79" s="157">
        <f t="shared" si="5"/>
        <v>25.126678999436979</v>
      </c>
      <c r="H79" s="157">
        <f t="shared" si="4"/>
        <v>3.2607107319551041</v>
      </c>
      <c r="I79" s="137">
        <v>93720000</v>
      </c>
      <c r="J79" s="73">
        <f t="shared" si="15"/>
        <v>25.126678999436979</v>
      </c>
      <c r="K79" s="166">
        <f t="shared" si="16"/>
        <v>279270000</v>
      </c>
      <c r="L79" s="73">
        <f t="shared" si="17"/>
        <v>74.873321000563024</v>
      </c>
      <c r="N79" s="75"/>
      <c r="O79" s="36"/>
    </row>
    <row r="80" spans="1:15" ht="10.5" x14ac:dyDescent="0.25">
      <c r="A80" s="172"/>
      <c r="B80" s="181" t="s">
        <v>261</v>
      </c>
      <c r="C80" s="189" t="str">
        <f>[2]Sheet1!$I$73</f>
        <v>Penyusunan rancangan RKPD</v>
      </c>
      <c r="D80" s="151">
        <v>420170000</v>
      </c>
      <c r="E80" s="157">
        <f>D80/D77*100</f>
        <v>14.618574778548615</v>
      </c>
      <c r="F80" s="157">
        <v>100</v>
      </c>
      <c r="G80" s="157">
        <f t="shared" si="5"/>
        <v>30.284289692267414</v>
      </c>
      <c r="H80" s="157">
        <f t="shared" si="4"/>
        <v>4.427131534816402</v>
      </c>
      <c r="I80" s="137">
        <f>47450000+21670000+58125500</f>
        <v>127245500</v>
      </c>
      <c r="J80" s="73">
        <f t="shared" si="15"/>
        <v>30.284289692267414</v>
      </c>
      <c r="K80" s="166">
        <f t="shared" si="16"/>
        <v>292924500</v>
      </c>
      <c r="L80" s="73">
        <f t="shared" si="17"/>
        <v>69.715710307732579</v>
      </c>
      <c r="N80" s="51">
        <v>779776166</v>
      </c>
      <c r="O80" s="36">
        <f t="shared" ref="O80:O86" si="18">I80-N80</f>
        <v>-652530666</v>
      </c>
    </row>
    <row r="81" spans="1:15" ht="20.100000000000001" x14ac:dyDescent="0.25">
      <c r="A81" s="172"/>
      <c r="B81" s="181" t="s">
        <v>262</v>
      </c>
      <c r="C81" s="189" t="str">
        <f>[2]Sheet1!$I$74</f>
        <v>Penyelenggaraan musrenbang RKPD</v>
      </c>
      <c r="D81" s="151">
        <v>281300000</v>
      </c>
      <c r="E81" s="157">
        <f>D81/D77*100</f>
        <v>9.7870030825754455</v>
      </c>
      <c r="F81" s="157">
        <v>100</v>
      </c>
      <c r="G81" s="157">
        <f t="shared" si="5"/>
        <v>88.606377532883045</v>
      </c>
      <c r="H81" s="157">
        <f t="shared" ref="H81:H111" si="19">G81*E81/100</f>
        <v>8.6719089005017</v>
      </c>
      <c r="I81" s="137">
        <v>249249740</v>
      </c>
      <c r="J81" s="73">
        <f t="shared" si="15"/>
        <v>88.606377532883045</v>
      </c>
      <c r="K81" s="166">
        <f t="shared" si="16"/>
        <v>32050260</v>
      </c>
      <c r="L81" s="73">
        <f t="shared" si="17"/>
        <v>11.393622467116957</v>
      </c>
      <c r="N81" s="51">
        <v>335029050</v>
      </c>
      <c r="O81" s="36">
        <f t="shared" si="18"/>
        <v>-85779310</v>
      </c>
    </row>
    <row r="82" spans="1:15" ht="30" x14ac:dyDescent="0.25">
      <c r="A82" s="172"/>
      <c r="B82" s="181" t="s">
        <v>263</v>
      </c>
      <c r="C82" s="189" t="str">
        <f>[2]Sheet1!$I$75</f>
        <v>Koordinasi penyusunan laporan Keterangan Pertanggung Jawaban (LKPJ)</v>
      </c>
      <c r="D82" s="151">
        <v>403300000</v>
      </c>
      <c r="E82" s="157">
        <f>D82/D77*100</f>
        <v>14.031632929977524</v>
      </c>
      <c r="F82" s="157">
        <v>100</v>
      </c>
      <c r="G82" s="157">
        <f t="shared" ref="G82:G111" si="20">J82</f>
        <v>59.845467641953874</v>
      </c>
      <c r="H82" s="157">
        <f t="shared" si="19"/>
        <v>8.3972963447474438</v>
      </c>
      <c r="I82" s="137">
        <f>86656771+154700000</f>
        <v>241356771</v>
      </c>
      <c r="J82" s="73">
        <f t="shared" si="15"/>
        <v>59.845467641953874</v>
      </c>
      <c r="K82" s="166">
        <f t="shared" si="16"/>
        <v>161943229</v>
      </c>
      <c r="L82" s="73">
        <f t="shared" si="17"/>
        <v>40.154532358046119</v>
      </c>
      <c r="N82" s="51">
        <v>267919800</v>
      </c>
      <c r="O82" s="36">
        <f t="shared" si="18"/>
        <v>-26563029</v>
      </c>
    </row>
    <row r="83" spans="1:15" ht="20.100000000000001" x14ac:dyDescent="0.25">
      <c r="A83" s="172"/>
      <c r="B83" s="181" t="s">
        <v>264</v>
      </c>
      <c r="C83" s="189" t="str">
        <f>[2]Sheet1!$I$76</f>
        <v>Monitoring, evaluasi dan pelaporan</v>
      </c>
      <c r="D83" s="151">
        <v>216100000</v>
      </c>
      <c r="E83" s="157">
        <f>D83/D77*100</f>
        <v>7.5185615575704023</v>
      </c>
      <c r="F83" s="157">
        <v>100</v>
      </c>
      <c r="G83" s="157">
        <f t="shared" si="20"/>
        <v>11.730680240629338</v>
      </c>
      <c r="H83" s="157">
        <f t="shared" si="19"/>
        <v>0.88197841501346463</v>
      </c>
      <c r="I83" s="137">
        <v>25350000</v>
      </c>
      <c r="J83" s="73">
        <f t="shared" si="15"/>
        <v>11.730680240629338</v>
      </c>
      <c r="K83" s="166">
        <f t="shared" si="16"/>
        <v>190750000</v>
      </c>
      <c r="L83" s="73">
        <f t="shared" si="17"/>
        <v>88.26931975937066</v>
      </c>
      <c r="N83" s="51">
        <v>226558000</v>
      </c>
      <c r="O83" s="36">
        <f t="shared" si="18"/>
        <v>-201208000</v>
      </c>
    </row>
    <row r="84" spans="1:15" ht="10.5" x14ac:dyDescent="0.25">
      <c r="A84" s="172"/>
      <c r="B84" s="181" t="s">
        <v>265</v>
      </c>
      <c r="C84" s="189" t="str">
        <f>[2]Sheet1!$I$77</f>
        <v>Penyusunan KU APBD Perubahan</v>
      </c>
      <c r="D84" s="151">
        <v>198320000</v>
      </c>
      <c r="E84" s="157">
        <f>D84/D77*100</f>
        <v>6.8999589453834425</v>
      </c>
      <c r="F84" s="157">
        <v>100</v>
      </c>
      <c r="G84" s="157">
        <f t="shared" si="20"/>
        <v>0</v>
      </c>
      <c r="H84" s="157">
        <f t="shared" si="19"/>
        <v>0</v>
      </c>
      <c r="I84" s="137">
        <v>0</v>
      </c>
      <c r="J84" s="73">
        <f t="shared" si="15"/>
        <v>0</v>
      </c>
      <c r="K84" s="166">
        <f t="shared" si="16"/>
        <v>198320000</v>
      </c>
      <c r="L84" s="73">
        <f t="shared" si="17"/>
        <v>100</v>
      </c>
      <c r="N84" s="51">
        <v>246600000</v>
      </c>
      <c r="O84" s="36">
        <f t="shared" si="18"/>
        <v>-246600000</v>
      </c>
    </row>
    <row r="85" spans="1:15" ht="10.5" x14ac:dyDescent="0.25">
      <c r="A85" s="172"/>
      <c r="B85" s="181" t="s">
        <v>266</v>
      </c>
      <c r="C85" s="189" t="str">
        <f>[2]Sheet1!$I$78</f>
        <v>Penyusunan PPAS Perubahan</v>
      </c>
      <c r="D85" s="151">
        <v>218320000</v>
      </c>
      <c r="E85" s="157">
        <f>D85/D77*100</f>
        <v>7.5957999039739477</v>
      </c>
      <c r="F85" s="157">
        <v>100</v>
      </c>
      <c r="G85" s="157">
        <f t="shared" si="20"/>
        <v>0</v>
      </c>
      <c r="H85" s="157">
        <f t="shared" si="19"/>
        <v>0</v>
      </c>
      <c r="I85" s="137">
        <v>0</v>
      </c>
      <c r="J85" s="73">
        <f t="shared" si="15"/>
        <v>0</v>
      </c>
      <c r="K85" s="166">
        <f t="shared" si="16"/>
        <v>218320000</v>
      </c>
      <c r="L85" s="73">
        <f t="shared" si="17"/>
        <v>100</v>
      </c>
      <c r="N85" s="51">
        <v>248120000</v>
      </c>
      <c r="O85" s="36">
        <f t="shared" si="18"/>
        <v>-248120000</v>
      </c>
    </row>
    <row r="86" spans="1:15" ht="30" x14ac:dyDescent="0.25">
      <c r="A86" s="172"/>
      <c r="B86" s="181" t="s">
        <v>267</v>
      </c>
      <c r="C86" s="189" t="str">
        <f>[2]Sheet1!$I$80</f>
        <v>Pengumpulan, Updating dan Analisis Sistem Informasi Pembangunan Daerah</v>
      </c>
      <c r="D86" s="151">
        <v>146640000</v>
      </c>
      <c r="E86" s="157">
        <f>D86/D77*100</f>
        <v>5.1019059083855796</v>
      </c>
      <c r="F86" s="157">
        <v>100</v>
      </c>
      <c r="G86" s="157">
        <f t="shared" si="20"/>
        <v>23.663865930169123</v>
      </c>
      <c r="H86" s="157">
        <f t="shared" si="19"/>
        <v>1.2073081740437406</v>
      </c>
      <c r="I86" s="137">
        <f>23850000+10350693+500000</f>
        <v>34700693</v>
      </c>
      <c r="J86" s="73">
        <f t="shared" si="15"/>
        <v>23.663865930169123</v>
      </c>
      <c r="K86" s="166">
        <f t="shared" si="16"/>
        <v>111939307</v>
      </c>
      <c r="L86" s="73">
        <f t="shared" si="17"/>
        <v>76.336134069830877</v>
      </c>
      <c r="N86" s="51">
        <v>129110000</v>
      </c>
      <c r="O86" s="36">
        <f t="shared" si="18"/>
        <v>-94409307</v>
      </c>
    </row>
    <row r="87" spans="1:15" ht="10.5" x14ac:dyDescent="0.25">
      <c r="A87" s="172"/>
      <c r="B87" s="181" t="s">
        <v>268</v>
      </c>
      <c r="C87" s="188" t="s">
        <v>138</v>
      </c>
      <c r="D87" s="151">
        <v>198320000</v>
      </c>
      <c r="E87" s="157">
        <f>D87/D77*100</f>
        <v>6.8999589453834425</v>
      </c>
      <c r="F87" s="157">
        <v>100</v>
      </c>
      <c r="G87" s="157">
        <f t="shared" si="20"/>
        <v>0</v>
      </c>
      <c r="H87" s="157">
        <f t="shared" si="19"/>
        <v>0</v>
      </c>
      <c r="I87" s="137">
        <v>0</v>
      </c>
      <c r="J87" s="73">
        <f t="shared" si="15"/>
        <v>0</v>
      </c>
      <c r="K87" s="166">
        <f t="shared" si="16"/>
        <v>198320000</v>
      </c>
      <c r="L87" s="73">
        <f t="shared" si="17"/>
        <v>100</v>
      </c>
      <c r="N87" s="51"/>
      <c r="O87" s="36"/>
    </row>
    <row r="88" spans="1:15" ht="10.5" x14ac:dyDescent="0.25">
      <c r="A88" s="172"/>
      <c r="B88" s="181" t="s">
        <v>269</v>
      </c>
      <c r="C88" s="188" t="s">
        <v>140</v>
      </c>
      <c r="D88" s="151">
        <v>218320000</v>
      </c>
      <c r="E88" s="157">
        <f>D88/D77*100</f>
        <v>7.5957999039739477</v>
      </c>
      <c r="F88" s="157">
        <v>100</v>
      </c>
      <c r="G88" s="157">
        <f t="shared" si="20"/>
        <v>0</v>
      </c>
      <c r="H88" s="157">
        <f t="shared" si="19"/>
        <v>0</v>
      </c>
      <c r="I88" s="137">
        <v>0</v>
      </c>
      <c r="J88" s="73">
        <f t="shared" si="15"/>
        <v>0</v>
      </c>
      <c r="K88" s="166">
        <f t="shared" si="16"/>
        <v>218320000</v>
      </c>
      <c r="L88" s="73">
        <f t="shared" si="17"/>
        <v>100</v>
      </c>
      <c r="N88" s="51"/>
      <c r="O88" s="36"/>
    </row>
    <row r="89" spans="1:15" ht="10.5" x14ac:dyDescent="0.25">
      <c r="A89" s="172"/>
      <c r="B89" s="46"/>
      <c r="C89" s="47"/>
      <c r="D89" s="151"/>
      <c r="E89" s="157"/>
      <c r="F89" s="157"/>
      <c r="G89" s="157"/>
      <c r="H89" s="157"/>
      <c r="I89" s="137"/>
      <c r="J89" s="73"/>
      <c r="K89" s="166"/>
      <c r="L89" s="73"/>
      <c r="N89" s="51"/>
      <c r="O89" s="36"/>
    </row>
    <row r="90" spans="1:15" ht="20.100000000000001" x14ac:dyDescent="0.25">
      <c r="A90" s="172" t="s">
        <v>153</v>
      </c>
      <c r="B90" s="180" t="s">
        <v>270</v>
      </c>
      <c r="C90" s="27" t="str">
        <f>[2]Sheet1!$I$81</f>
        <v>Program perencanaan pembangunan ekonomi</v>
      </c>
      <c r="D90" s="144">
        <f>SUM(D91:D96)</f>
        <v>941600000</v>
      </c>
      <c r="E90" s="156">
        <f>D90/D14*100</f>
        <v>7.3739858918560346</v>
      </c>
      <c r="F90" s="156">
        <f>AVERAGE(F91:F96)</f>
        <v>100</v>
      </c>
      <c r="G90" s="156">
        <f t="shared" si="20"/>
        <v>4.1306818181818183</v>
      </c>
      <c r="H90" s="156">
        <f t="shared" si="19"/>
        <v>0.30459589451018965</v>
      </c>
      <c r="I90" s="136">
        <f>SUM(I91:I96)</f>
        <v>38894500</v>
      </c>
      <c r="J90" s="163">
        <f>I90/D90*100</f>
        <v>4.1306818181818183</v>
      </c>
      <c r="K90" s="165">
        <f t="shared" ref="K90:K96" si="21">D90-I90</f>
        <v>902705500</v>
      </c>
      <c r="L90" s="73">
        <f t="shared" ref="L90:L96" si="22">K90/D90*100</f>
        <v>95.869318181818187</v>
      </c>
      <c r="N90" s="31">
        <v>797617530</v>
      </c>
      <c r="O90" s="36">
        <f>I90-N90</f>
        <v>-758723030</v>
      </c>
    </row>
    <row r="91" spans="1:15" ht="21" x14ac:dyDescent="0.2">
      <c r="A91" s="172"/>
      <c r="B91" s="179" t="s">
        <v>272</v>
      </c>
      <c r="C91" s="189" t="str">
        <f>[2]Sheet1!$I$82</f>
        <v>Penyusunan Indikator ekonomi daerah</v>
      </c>
      <c r="D91" s="151">
        <v>146640000</v>
      </c>
      <c r="E91" s="157">
        <f>D91/D90*100</f>
        <v>15.573491928632116</v>
      </c>
      <c r="F91" s="157">
        <v>100</v>
      </c>
      <c r="G91" s="157">
        <f t="shared" si="20"/>
        <v>0</v>
      </c>
      <c r="H91" s="157">
        <f t="shared" si="19"/>
        <v>0</v>
      </c>
      <c r="I91" s="137">
        <v>0</v>
      </c>
      <c r="J91" s="73">
        <f t="shared" ref="J91:J96" si="23">I91/D91*100</f>
        <v>0</v>
      </c>
      <c r="K91" s="166">
        <f t="shared" si="21"/>
        <v>146640000</v>
      </c>
      <c r="L91" s="73">
        <f t="shared" si="22"/>
        <v>100</v>
      </c>
      <c r="N91" s="51">
        <v>186005678</v>
      </c>
      <c r="O91" s="36">
        <f>I91-N91</f>
        <v>-186005678</v>
      </c>
    </row>
    <row r="92" spans="1:15" ht="31.5" x14ac:dyDescent="0.2">
      <c r="A92" s="172"/>
      <c r="B92" s="183" t="s">
        <v>273</v>
      </c>
      <c r="C92" s="189" t="s">
        <v>290</v>
      </c>
      <c r="D92" s="151">
        <v>146640000</v>
      </c>
      <c r="E92" s="157">
        <f>D92/D90*100</f>
        <v>15.573491928632116</v>
      </c>
      <c r="F92" s="157">
        <v>100</v>
      </c>
      <c r="G92" s="157">
        <f t="shared" si="20"/>
        <v>2.9834969994544465</v>
      </c>
      <c r="H92" s="157">
        <f t="shared" si="19"/>
        <v>0.46463466440101958</v>
      </c>
      <c r="I92" s="137">
        <v>4375000</v>
      </c>
      <c r="J92" s="73">
        <f t="shared" si="23"/>
        <v>2.9834969994544465</v>
      </c>
      <c r="K92" s="166">
        <f t="shared" si="21"/>
        <v>142265000</v>
      </c>
      <c r="L92" s="73">
        <f t="shared" si="22"/>
        <v>97.016503000545555</v>
      </c>
      <c r="N92" s="51"/>
      <c r="O92" s="36"/>
    </row>
    <row r="93" spans="1:15" ht="21" x14ac:dyDescent="0.2">
      <c r="A93" s="172"/>
      <c r="B93" s="183" t="s">
        <v>274</v>
      </c>
      <c r="C93" s="189" t="str">
        <f>[2]Sheet1!$I$84</f>
        <v>Koordinasi perencanaan pembangunan bidang ekonomi</v>
      </c>
      <c r="D93" s="151">
        <v>111160000</v>
      </c>
      <c r="E93" s="157">
        <f>D93/D90*100</f>
        <v>11.805437553101104</v>
      </c>
      <c r="F93" s="157">
        <v>100</v>
      </c>
      <c r="G93" s="157">
        <f t="shared" si="20"/>
        <v>20.897804965815041</v>
      </c>
      <c r="H93" s="157">
        <f t="shared" si="19"/>
        <v>2.4670773152081562</v>
      </c>
      <c r="I93" s="137">
        <v>23230000</v>
      </c>
      <c r="J93" s="73">
        <f t="shared" si="23"/>
        <v>20.897804965815041</v>
      </c>
      <c r="K93" s="166">
        <f t="shared" si="21"/>
        <v>87930000</v>
      </c>
      <c r="L93" s="73">
        <f t="shared" si="22"/>
        <v>79.102195034184959</v>
      </c>
      <c r="N93" s="51">
        <v>205639452</v>
      </c>
      <c r="O93" s="36">
        <f>I93-N93</f>
        <v>-182409452</v>
      </c>
    </row>
    <row r="94" spans="1:15" ht="21" x14ac:dyDescent="0.2">
      <c r="A94" s="172"/>
      <c r="B94" s="183" t="s">
        <v>275</v>
      </c>
      <c r="C94" s="189" t="s">
        <v>148</v>
      </c>
      <c r="D94" s="151">
        <v>145260000</v>
      </c>
      <c r="E94" s="157">
        <f>D94/D90*100</f>
        <v>15.426932880203909</v>
      </c>
      <c r="F94" s="157">
        <v>100</v>
      </c>
      <c r="G94" s="157">
        <f t="shared" si="20"/>
        <v>2.5196199917389506</v>
      </c>
      <c r="H94" s="157">
        <f t="shared" si="19"/>
        <v>0.38870008496176717</v>
      </c>
      <c r="I94" s="137">
        <v>3660000</v>
      </c>
      <c r="J94" s="73">
        <f t="shared" si="23"/>
        <v>2.5196199917389506</v>
      </c>
      <c r="K94" s="166">
        <f t="shared" si="21"/>
        <v>141600000</v>
      </c>
      <c r="L94" s="73">
        <f t="shared" si="22"/>
        <v>97.480380008261051</v>
      </c>
      <c r="N94" s="51">
        <v>48696300</v>
      </c>
      <c r="O94" s="36">
        <f>I94-N94</f>
        <v>-45036300</v>
      </c>
    </row>
    <row r="95" spans="1:15" x14ac:dyDescent="0.2">
      <c r="A95" s="172"/>
      <c r="B95" s="183" t="s">
        <v>276</v>
      </c>
      <c r="C95" s="189" t="s">
        <v>150</v>
      </c>
      <c r="D95" s="151">
        <v>146640000</v>
      </c>
      <c r="E95" s="157">
        <f>D95/D90*100</f>
        <v>15.573491928632116</v>
      </c>
      <c r="F95" s="157">
        <v>100</v>
      </c>
      <c r="G95" s="157">
        <f t="shared" si="20"/>
        <v>0</v>
      </c>
      <c r="H95" s="157">
        <f t="shared" si="19"/>
        <v>0</v>
      </c>
      <c r="I95" s="137">
        <v>0</v>
      </c>
      <c r="J95" s="73">
        <f t="shared" si="23"/>
        <v>0</v>
      </c>
      <c r="K95" s="166">
        <f t="shared" si="21"/>
        <v>146640000</v>
      </c>
      <c r="L95" s="73">
        <f t="shared" si="22"/>
        <v>100</v>
      </c>
      <c r="N95" s="51"/>
      <c r="O95" s="36"/>
    </row>
    <row r="96" spans="1:15" s="80" customFormat="1" ht="21" x14ac:dyDescent="0.2">
      <c r="A96" s="175"/>
      <c r="B96" s="183" t="s">
        <v>277</v>
      </c>
      <c r="C96" s="189" t="s">
        <v>152</v>
      </c>
      <c r="D96" s="151">
        <v>245260000</v>
      </c>
      <c r="E96" s="157">
        <f>D96/D90*100</f>
        <v>26.047153780798642</v>
      </c>
      <c r="F96" s="157">
        <v>100</v>
      </c>
      <c r="G96" s="157">
        <f t="shared" si="20"/>
        <v>3.1107803963141158</v>
      </c>
      <c r="H96" s="157">
        <f t="shared" si="19"/>
        <v>0.81026975361087528</v>
      </c>
      <c r="I96" s="137">
        <f>7000000+629500</f>
        <v>7629500</v>
      </c>
      <c r="J96" s="73">
        <f t="shared" si="23"/>
        <v>3.1107803963141158</v>
      </c>
      <c r="K96" s="166">
        <f t="shared" si="21"/>
        <v>237630500</v>
      </c>
      <c r="L96" s="73">
        <f t="shared" si="22"/>
        <v>96.889219603685888</v>
      </c>
      <c r="N96" s="81">
        <v>234465000</v>
      </c>
      <c r="O96" s="82">
        <f>I96-N96</f>
        <v>-226835500</v>
      </c>
    </row>
    <row r="97" spans="1:15" x14ac:dyDescent="0.2">
      <c r="A97" s="172"/>
      <c r="B97" s="46"/>
      <c r="C97" s="61"/>
      <c r="D97" s="151"/>
      <c r="E97" s="157"/>
      <c r="F97" s="157"/>
      <c r="G97" s="157"/>
      <c r="H97" s="157"/>
      <c r="I97" s="137"/>
      <c r="J97" s="73"/>
      <c r="K97" s="166"/>
      <c r="L97" s="73"/>
      <c r="N97" s="51"/>
      <c r="O97" s="36">
        <f>I97-N97</f>
        <v>0</v>
      </c>
    </row>
    <row r="98" spans="1:15" ht="21" x14ac:dyDescent="0.2">
      <c r="A98" s="172" t="s">
        <v>163</v>
      </c>
      <c r="B98" s="180" t="s">
        <v>271</v>
      </c>
      <c r="C98" s="27" t="str">
        <f>[2]Sheet1!$I$89</f>
        <v>Program perencanaan sosial dan budaya</v>
      </c>
      <c r="D98" s="144">
        <f>SUM(D99:D103)</f>
        <v>768250000</v>
      </c>
      <c r="E98" s="156">
        <f>D98/D14*100</f>
        <v>6.01642381204163</v>
      </c>
      <c r="F98" s="156">
        <f>AVERAGE(F99:F102)</f>
        <v>100</v>
      </c>
      <c r="G98" s="156">
        <f>J98</f>
        <v>20.773966807679791</v>
      </c>
      <c r="H98" s="156">
        <f>G98*E98/100</f>
        <v>1.2498498857228713</v>
      </c>
      <c r="I98" s="136">
        <f>SUM(I99:I103)</f>
        <v>159596000</v>
      </c>
      <c r="J98" s="163">
        <f t="shared" ref="J98:J103" si="24">I98/D98*100</f>
        <v>20.773966807679791</v>
      </c>
      <c r="K98" s="165">
        <f t="shared" ref="K98:K103" si="25">D98-I98</f>
        <v>608654000</v>
      </c>
      <c r="L98" s="73">
        <f t="shared" ref="L98:L103" si="26">K98/D98*100</f>
        <v>79.226033192320216</v>
      </c>
      <c r="N98" s="31">
        <v>417742000</v>
      </c>
      <c r="O98" s="36">
        <f>I98-N98</f>
        <v>-258146000</v>
      </c>
    </row>
    <row r="99" spans="1:15" ht="31.5" x14ac:dyDescent="0.2">
      <c r="A99" s="172"/>
      <c r="B99" s="183" t="s">
        <v>278</v>
      </c>
      <c r="C99" s="189" t="str">
        <f>[2]Sheet1!$I$90</f>
        <v>Koordinasi perencanaan pembangunan bidang sosial dan budaya</v>
      </c>
      <c r="D99" s="151">
        <v>201880000</v>
      </c>
      <c r="E99" s="157">
        <f>D99/D98*100</f>
        <v>26.277904328018227</v>
      </c>
      <c r="F99" s="157">
        <v>100</v>
      </c>
      <c r="G99" s="157">
        <f t="shared" si="20"/>
        <v>36.605904497721419</v>
      </c>
      <c r="H99" s="157">
        <f t="shared" si="19"/>
        <v>9.619264562316955</v>
      </c>
      <c r="I99" s="137">
        <v>73900000</v>
      </c>
      <c r="J99" s="73">
        <f t="shared" si="24"/>
        <v>36.605904497721419</v>
      </c>
      <c r="K99" s="166">
        <f t="shared" si="25"/>
        <v>127980000</v>
      </c>
      <c r="L99" s="73">
        <f t="shared" si="26"/>
        <v>63.394095502278581</v>
      </c>
      <c r="N99" s="51">
        <v>325940000</v>
      </c>
      <c r="O99" s="36">
        <f>I99-N99</f>
        <v>-252040000</v>
      </c>
    </row>
    <row r="100" spans="1:15" x14ac:dyDescent="0.2">
      <c r="A100" s="172"/>
      <c r="B100" s="183" t="s">
        <v>279</v>
      </c>
      <c r="C100" s="189" t="str">
        <f>[2]Sheet1!$I$91</f>
        <v>Pelaksanaan Program KHPPIA</v>
      </c>
      <c r="D100" s="151">
        <v>107880000</v>
      </c>
      <c r="E100" s="157">
        <f>D100/D98*100</f>
        <v>14.042303937520339</v>
      </c>
      <c r="F100" s="157">
        <v>100</v>
      </c>
      <c r="G100" s="157">
        <f t="shared" si="20"/>
        <v>35.035224323322211</v>
      </c>
      <c r="H100" s="157">
        <f t="shared" si="19"/>
        <v>4.9197526846729582</v>
      </c>
      <c r="I100" s="137">
        <v>37796000</v>
      </c>
      <c r="J100" s="73">
        <f t="shared" si="24"/>
        <v>35.035224323322211</v>
      </c>
      <c r="K100" s="166">
        <f t="shared" si="25"/>
        <v>70084000</v>
      </c>
      <c r="L100" s="73">
        <f t="shared" si="26"/>
        <v>64.964775676677789</v>
      </c>
      <c r="N100" s="51">
        <v>53102000</v>
      </c>
      <c r="O100" s="36">
        <f>I100-N100</f>
        <v>-15306000</v>
      </c>
    </row>
    <row r="101" spans="1:15" ht="31.5" x14ac:dyDescent="0.2">
      <c r="A101" s="172"/>
      <c r="B101" s="183" t="s">
        <v>280</v>
      </c>
      <c r="C101" s="189" t="s">
        <v>158</v>
      </c>
      <c r="D101" s="151">
        <v>160960000</v>
      </c>
      <c r="E101" s="157">
        <f>D101/D98*100</f>
        <v>20.951513179303614</v>
      </c>
      <c r="F101" s="157">
        <v>100</v>
      </c>
      <c r="G101" s="157">
        <f t="shared" si="20"/>
        <v>0</v>
      </c>
      <c r="H101" s="157">
        <f t="shared" si="19"/>
        <v>0</v>
      </c>
      <c r="I101" s="137">
        <v>0</v>
      </c>
      <c r="J101" s="73">
        <f t="shared" si="24"/>
        <v>0</v>
      </c>
      <c r="K101" s="166">
        <f t="shared" si="25"/>
        <v>160960000</v>
      </c>
      <c r="L101" s="73">
        <f t="shared" si="26"/>
        <v>100</v>
      </c>
      <c r="N101" s="51"/>
      <c r="O101" s="36"/>
    </row>
    <row r="102" spans="1:15" ht="31.5" x14ac:dyDescent="0.2">
      <c r="A102" s="172"/>
      <c r="B102" s="181" t="s">
        <v>281</v>
      </c>
      <c r="C102" s="191" t="s">
        <v>160</v>
      </c>
      <c r="D102" s="151">
        <v>177940000</v>
      </c>
      <c r="E102" s="157">
        <f>D102/D98*100</f>
        <v>23.161731207289293</v>
      </c>
      <c r="F102" s="157">
        <v>100</v>
      </c>
      <c r="G102" s="157">
        <f t="shared" si="20"/>
        <v>12.22322131055412</v>
      </c>
      <c r="H102" s="157">
        <f t="shared" si="19"/>
        <v>2.8311096648226486</v>
      </c>
      <c r="I102" s="137">
        <v>21750000</v>
      </c>
      <c r="J102" s="73">
        <f t="shared" si="24"/>
        <v>12.22322131055412</v>
      </c>
      <c r="K102" s="166">
        <f t="shared" si="25"/>
        <v>156190000</v>
      </c>
      <c r="L102" s="73">
        <f t="shared" si="26"/>
        <v>87.776778689445877</v>
      </c>
      <c r="N102" s="51">
        <v>38700000</v>
      </c>
      <c r="O102" s="36">
        <f>I102-N102</f>
        <v>-16950000</v>
      </c>
    </row>
    <row r="103" spans="1:15" ht="21" x14ac:dyDescent="0.2">
      <c r="A103" s="172"/>
      <c r="B103" s="183" t="s">
        <v>282</v>
      </c>
      <c r="C103" s="192" t="s">
        <v>162</v>
      </c>
      <c r="D103" s="151">
        <v>119590000</v>
      </c>
      <c r="E103" s="157">
        <f>D103/D98*100</f>
        <v>15.566547347868532</v>
      </c>
      <c r="F103" s="157">
        <v>100</v>
      </c>
      <c r="G103" s="157">
        <f t="shared" si="20"/>
        <v>21.866376787356803</v>
      </c>
      <c r="H103" s="157">
        <f t="shared" si="19"/>
        <v>3.4038398958672307</v>
      </c>
      <c r="I103" s="137">
        <v>26150000</v>
      </c>
      <c r="J103" s="73">
        <f t="shared" si="24"/>
        <v>21.866376787356803</v>
      </c>
      <c r="K103" s="166">
        <f t="shared" si="25"/>
        <v>93440000</v>
      </c>
      <c r="L103" s="73">
        <f t="shared" si="26"/>
        <v>78.133623212643201</v>
      </c>
      <c r="N103" s="51"/>
      <c r="O103" s="36"/>
    </row>
    <row r="104" spans="1:15" x14ac:dyDescent="0.2">
      <c r="A104" s="172"/>
      <c r="B104" s="46"/>
      <c r="C104" s="133"/>
      <c r="D104" s="151"/>
      <c r="E104" s="157"/>
      <c r="F104" s="157"/>
      <c r="G104" s="157"/>
      <c r="H104" s="157"/>
      <c r="I104" s="137"/>
      <c r="J104" s="73"/>
      <c r="K104" s="166"/>
      <c r="L104" s="73"/>
      <c r="N104" s="51"/>
      <c r="O104" s="36"/>
    </row>
    <row r="105" spans="1:15" ht="42" x14ac:dyDescent="0.2">
      <c r="A105" s="172" t="s">
        <v>204</v>
      </c>
      <c r="B105" s="184" t="s">
        <v>283</v>
      </c>
      <c r="C105" s="27" t="s">
        <v>292</v>
      </c>
      <c r="D105" s="144">
        <f>SUM(D106:D111)</f>
        <v>1096404000</v>
      </c>
      <c r="E105" s="156">
        <f>D105/D14*100</f>
        <v>8.5863080159032759</v>
      </c>
      <c r="F105" s="156">
        <f>AVERAGE(F106:F110)</f>
        <v>100</v>
      </c>
      <c r="G105" s="156">
        <f>J105</f>
        <v>2.2257306613255698</v>
      </c>
      <c r="H105" s="156">
        <f>G105*E105/100</f>
        <v>0.19110809018581437</v>
      </c>
      <c r="I105" s="136">
        <f>SUM(I106:I111)</f>
        <v>24403000</v>
      </c>
      <c r="J105" s="163">
        <f t="shared" ref="J105:J111" si="27">I105/D105*100</f>
        <v>2.2257306613255698</v>
      </c>
      <c r="K105" s="165">
        <f t="shared" ref="K105:K111" si="28">D105-I105</f>
        <v>1072001000</v>
      </c>
      <c r="L105" s="73">
        <f t="shared" ref="L105:L111" si="29">K105/D105*100</f>
        <v>97.774269338674429</v>
      </c>
      <c r="N105" s="31">
        <v>383477500</v>
      </c>
      <c r="O105" s="36">
        <f>I105-N105</f>
        <v>-359074500</v>
      </c>
    </row>
    <row r="106" spans="1:15" ht="31.5" x14ac:dyDescent="0.2">
      <c r="A106" s="172"/>
      <c r="B106" s="185" t="s">
        <v>284</v>
      </c>
      <c r="C106" s="189" t="s">
        <v>167</v>
      </c>
      <c r="D106" s="151">
        <v>221640000</v>
      </c>
      <c r="E106" s="157">
        <f>D106/D105*100</f>
        <v>20.215176157693694</v>
      </c>
      <c r="F106" s="157">
        <v>100</v>
      </c>
      <c r="G106" s="157">
        <f t="shared" si="20"/>
        <v>1.353546291283162</v>
      </c>
      <c r="H106" s="157">
        <f t="shared" si="19"/>
        <v>0.27362176715882103</v>
      </c>
      <c r="I106" s="137">
        <v>3000000</v>
      </c>
      <c r="J106" s="73">
        <f t="shared" si="27"/>
        <v>1.353546291283162</v>
      </c>
      <c r="K106" s="166">
        <f t="shared" si="28"/>
        <v>218640000</v>
      </c>
      <c r="L106" s="73">
        <f t="shared" si="29"/>
        <v>98.646453708716848</v>
      </c>
      <c r="N106" s="51">
        <v>168150000</v>
      </c>
      <c r="O106" s="36">
        <f>I106-N106</f>
        <v>-165150000</v>
      </c>
    </row>
    <row r="107" spans="1:15" ht="21" x14ac:dyDescent="0.2">
      <c r="A107" s="172"/>
      <c r="B107" s="185" t="s">
        <v>285</v>
      </c>
      <c r="C107" s="189" t="s">
        <v>201</v>
      </c>
      <c r="D107" s="151">
        <v>116640000</v>
      </c>
      <c r="E107" s="157">
        <f>D107/D105*100</f>
        <v>10.63841430713496</v>
      </c>
      <c r="F107" s="157">
        <v>100</v>
      </c>
      <c r="G107" s="157">
        <f t="shared" si="20"/>
        <v>2.57201646090535</v>
      </c>
      <c r="H107" s="157">
        <f t="shared" si="19"/>
        <v>0.27362176715882103</v>
      </c>
      <c r="I107" s="137">
        <v>3000000</v>
      </c>
      <c r="J107" s="73">
        <f t="shared" si="27"/>
        <v>2.57201646090535</v>
      </c>
      <c r="K107" s="166">
        <f t="shared" si="28"/>
        <v>113640000</v>
      </c>
      <c r="L107" s="73">
        <f t="shared" si="29"/>
        <v>97.427983539094654</v>
      </c>
      <c r="N107" s="51"/>
      <c r="O107" s="36"/>
    </row>
    <row r="108" spans="1:15" ht="21" x14ac:dyDescent="0.2">
      <c r="A108" s="172"/>
      <c r="B108" s="185" t="s">
        <v>286</v>
      </c>
      <c r="C108" s="189" t="s">
        <v>203</v>
      </c>
      <c r="D108" s="151">
        <v>146640000</v>
      </c>
      <c r="E108" s="157">
        <f>D108/D105*100</f>
        <v>13.374631978723173</v>
      </c>
      <c r="F108" s="157">
        <v>100</v>
      </c>
      <c r="G108" s="157">
        <f t="shared" si="20"/>
        <v>1.67075831969449</v>
      </c>
      <c r="H108" s="157">
        <f t="shared" si="19"/>
        <v>0.22345777651303719</v>
      </c>
      <c r="I108" s="137">
        <v>2450000</v>
      </c>
      <c r="J108" s="73">
        <f t="shared" si="27"/>
        <v>1.67075831969449</v>
      </c>
      <c r="K108" s="166">
        <f t="shared" si="28"/>
        <v>144190000</v>
      </c>
      <c r="L108" s="73">
        <f t="shared" si="29"/>
        <v>98.329241680305515</v>
      </c>
      <c r="N108" s="51"/>
      <c r="O108" s="36"/>
    </row>
    <row r="109" spans="1:15" ht="31.5" x14ac:dyDescent="0.2">
      <c r="A109" s="172"/>
      <c r="B109" s="185" t="s">
        <v>287</v>
      </c>
      <c r="C109" s="189" t="s">
        <v>169</v>
      </c>
      <c r="D109" s="151">
        <v>160260000</v>
      </c>
      <c r="E109" s="157">
        <f>D109/D105*100</f>
        <v>14.616874801624219</v>
      </c>
      <c r="F109" s="157">
        <v>100</v>
      </c>
      <c r="G109" s="157">
        <f t="shared" si="20"/>
        <v>0</v>
      </c>
      <c r="H109" s="157">
        <f t="shared" si="19"/>
        <v>0</v>
      </c>
      <c r="I109" s="137">
        <v>0</v>
      </c>
      <c r="J109" s="73">
        <f t="shared" si="27"/>
        <v>0</v>
      </c>
      <c r="K109" s="166">
        <f t="shared" si="28"/>
        <v>160260000</v>
      </c>
      <c r="L109" s="73">
        <f t="shared" si="29"/>
        <v>100</v>
      </c>
      <c r="N109" s="51">
        <v>89350000</v>
      </c>
      <c r="O109" s="36">
        <f>I109-N109</f>
        <v>-89350000</v>
      </c>
    </row>
    <row r="110" spans="1:15" ht="31.5" x14ac:dyDescent="0.2">
      <c r="A110" s="172"/>
      <c r="B110" s="185" t="s">
        <v>288</v>
      </c>
      <c r="C110" s="189" t="s">
        <v>171</v>
      </c>
      <c r="D110" s="151">
        <v>155964000</v>
      </c>
      <c r="E110" s="157">
        <f>D110/D105*100</f>
        <v>14.225048431052786</v>
      </c>
      <c r="F110" s="157">
        <v>100</v>
      </c>
      <c r="G110" s="157">
        <f t="shared" si="20"/>
        <v>10.228642507245262</v>
      </c>
      <c r="H110" s="157">
        <f t="shared" si="19"/>
        <v>1.4550293504948906</v>
      </c>
      <c r="I110" s="137">
        <v>15953000</v>
      </c>
      <c r="J110" s="73">
        <f t="shared" si="27"/>
        <v>10.228642507245262</v>
      </c>
      <c r="K110" s="166">
        <f t="shared" si="28"/>
        <v>140011000</v>
      </c>
      <c r="L110" s="73">
        <f t="shared" si="29"/>
        <v>89.771357492754731</v>
      </c>
      <c r="N110" s="51">
        <v>125977500</v>
      </c>
      <c r="O110" s="36">
        <f>I110-N110</f>
        <v>-110024500</v>
      </c>
    </row>
    <row r="111" spans="1:15" ht="21.75" thickBot="1" x14ac:dyDescent="0.25">
      <c r="A111" s="176"/>
      <c r="B111" s="182" t="s">
        <v>289</v>
      </c>
      <c r="C111" s="190" t="s">
        <v>202</v>
      </c>
      <c r="D111" s="152">
        <v>295260000</v>
      </c>
      <c r="E111" s="159">
        <f>D111/D105*100</f>
        <v>26.929854323771163</v>
      </c>
      <c r="F111" s="159">
        <v>100</v>
      </c>
      <c r="G111" s="159">
        <f t="shared" si="20"/>
        <v>0</v>
      </c>
      <c r="H111" s="159">
        <f t="shared" si="19"/>
        <v>0</v>
      </c>
      <c r="I111" s="141">
        <v>0</v>
      </c>
      <c r="J111" s="170">
        <f t="shared" si="27"/>
        <v>0</v>
      </c>
      <c r="K111" s="167">
        <f t="shared" si="28"/>
        <v>295260000</v>
      </c>
      <c r="L111" s="170">
        <f t="shared" si="29"/>
        <v>100</v>
      </c>
      <c r="N111" s="94"/>
      <c r="O111" s="36">
        <f>I111-N111</f>
        <v>0</v>
      </c>
    </row>
    <row r="112" spans="1:15" x14ac:dyDescent="0.2">
      <c r="A112" s="153"/>
      <c r="B112" s="95"/>
      <c r="D112" s="153"/>
      <c r="E112" s="153"/>
      <c r="F112" s="153"/>
      <c r="G112" s="153"/>
      <c r="H112" s="153"/>
      <c r="J112" s="153"/>
      <c r="K112" s="153"/>
      <c r="L112" s="153"/>
      <c r="N112" s="95"/>
    </row>
    <row r="113" spans="1:12" x14ac:dyDescent="0.2">
      <c r="J113" s="315" t="s">
        <v>297</v>
      </c>
      <c r="K113" s="315"/>
      <c r="L113" s="315"/>
    </row>
    <row r="114" spans="1:12" x14ac:dyDescent="0.2">
      <c r="J114" s="315" t="s">
        <v>172</v>
      </c>
      <c r="K114" s="315"/>
      <c r="L114" s="315"/>
    </row>
    <row r="115" spans="1:12" x14ac:dyDescent="0.2">
      <c r="K115" s="168"/>
      <c r="L115" s="169"/>
    </row>
    <row r="116" spans="1:12" x14ac:dyDescent="0.2">
      <c r="K116" s="168"/>
      <c r="L116" s="169"/>
    </row>
    <row r="117" spans="1:12" x14ac:dyDescent="0.2">
      <c r="K117" s="168"/>
      <c r="L117" s="169"/>
    </row>
    <row r="118" spans="1:12" x14ac:dyDescent="0.2">
      <c r="I118" s="128"/>
      <c r="J118" s="316" t="s">
        <v>206</v>
      </c>
      <c r="K118" s="316"/>
      <c r="L118" s="316"/>
    </row>
    <row r="119" spans="1:12" x14ac:dyDescent="0.2">
      <c r="I119" s="129"/>
      <c r="J119" s="317" t="s">
        <v>174</v>
      </c>
      <c r="K119" s="317"/>
      <c r="L119" s="317"/>
    </row>
    <row r="120" spans="1:12" x14ac:dyDescent="0.2">
      <c r="K120" s="153"/>
    </row>
    <row r="123" spans="1:12" x14ac:dyDescent="0.2">
      <c r="A123" s="154" t="s">
        <v>198</v>
      </c>
    </row>
    <row r="124" spans="1:12" x14ac:dyDescent="0.2">
      <c r="D124" s="155"/>
    </row>
    <row r="126" spans="1:12" x14ac:dyDescent="0.2">
      <c r="C126" s="126"/>
    </row>
  </sheetData>
  <mergeCells count="20">
    <mergeCell ref="A1:L1"/>
    <mergeCell ref="A2:L2"/>
    <mergeCell ref="A6:A8"/>
    <mergeCell ref="B6:B8"/>
    <mergeCell ref="C6:C8"/>
    <mergeCell ref="D6:D8"/>
    <mergeCell ref="E6:E8"/>
    <mergeCell ref="F6:F8"/>
    <mergeCell ref="G6:J6"/>
    <mergeCell ref="K6:K8"/>
    <mergeCell ref="G7:H7"/>
    <mergeCell ref="I7:I8"/>
    <mergeCell ref="J7:J8"/>
    <mergeCell ref="J119:L119"/>
    <mergeCell ref="L6:L8"/>
    <mergeCell ref="N7:N8"/>
    <mergeCell ref="B9:C9"/>
    <mergeCell ref="J113:L113"/>
    <mergeCell ref="J114:L114"/>
    <mergeCell ref="J118:L118"/>
  </mergeCells>
  <printOptions horizontalCentered="1"/>
  <pageMargins left="0" right="0" top="0.5" bottom="0.5" header="0.3" footer="0.3"/>
  <pageSetup paperSize="10000" scale="97" orientation="landscape" horizontalDpi="300" r:id="rId1"/>
  <rowBreaks count="4" manualBreakCount="4">
    <brk id="31" max="11" man="1"/>
    <brk id="54" max="11" man="1"/>
    <brk id="77" max="11" man="1"/>
    <brk id="10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127"/>
  <sheetViews>
    <sheetView view="pageBreakPreview" topLeftCell="A22" zoomScale="120" zoomScaleNormal="120" zoomScaleSheetLayoutView="120" workbookViewId="0">
      <selection sqref="A1:XFD1048576"/>
    </sheetView>
  </sheetViews>
  <sheetFormatPr defaultColWidth="9.140625" defaultRowHeight="11.25" x14ac:dyDescent="0.2"/>
  <cols>
    <col min="1" max="1" width="5.42578125" style="154" customWidth="1"/>
    <col min="2" max="2" width="16.7109375" style="1" customWidth="1"/>
    <col min="3" max="3" width="22.5703125" style="95" customWidth="1"/>
    <col min="4" max="4" width="16" style="154" customWidth="1"/>
    <col min="5" max="5" width="7.5703125" style="154" customWidth="1"/>
    <col min="6" max="6" width="7.42578125" style="154" customWidth="1"/>
    <col min="7" max="8" width="10.42578125" style="154" bestFit="1" customWidth="1"/>
    <col min="9" max="9" width="15.42578125" style="95" customWidth="1"/>
    <col min="10" max="10" width="7.5703125" style="154" customWidth="1"/>
    <col min="11" max="11" width="17.42578125" style="154" customWidth="1"/>
    <col min="12" max="12" width="8.85546875" style="154" customWidth="1"/>
    <col min="13" max="13" width="18.85546875" style="1" customWidth="1"/>
    <col min="14" max="14" width="24.85546875" style="1" hidden="1" customWidth="1"/>
    <col min="15" max="15" width="13.85546875" style="1" hidden="1" customWidth="1"/>
    <col min="16" max="16" width="17.85546875" style="1" customWidth="1"/>
    <col min="17" max="16384" width="9.140625" style="1"/>
  </cols>
  <sheetData>
    <row r="1" spans="1:16" ht="15" x14ac:dyDescent="0.3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</row>
    <row r="2" spans="1:16" ht="15" x14ac:dyDescent="0.3">
      <c r="A2" s="320" t="s">
        <v>205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6" ht="10.5" x14ac:dyDescent="0.25">
      <c r="A3" s="142"/>
      <c r="B3" s="2"/>
      <c r="C3" s="123"/>
      <c r="D3" s="142"/>
      <c r="E3" s="142"/>
      <c r="F3" s="142"/>
      <c r="G3" s="142"/>
      <c r="H3" s="142"/>
      <c r="I3" s="123"/>
      <c r="J3" s="142"/>
      <c r="K3" s="142"/>
      <c r="L3" s="142"/>
      <c r="N3" s="2"/>
    </row>
    <row r="4" spans="1:16" ht="10.5" x14ac:dyDescent="0.25">
      <c r="A4" s="143" t="s">
        <v>2</v>
      </c>
      <c r="B4" s="3"/>
      <c r="C4" s="124"/>
      <c r="D4" s="143"/>
      <c r="E4" s="5"/>
      <c r="F4" s="5"/>
      <c r="G4" s="161"/>
      <c r="H4" s="162"/>
      <c r="I4" s="127"/>
      <c r="J4" s="162"/>
      <c r="K4" s="164" t="s">
        <v>298</v>
      </c>
      <c r="L4" s="164"/>
      <c r="N4" s="8"/>
    </row>
    <row r="5" spans="1:16" ht="11.1" thickBot="1" x14ac:dyDescent="0.3">
      <c r="A5" s="162"/>
      <c r="B5" s="7"/>
      <c r="C5" s="125"/>
      <c r="D5" s="143"/>
      <c r="E5" s="143"/>
      <c r="F5" s="143"/>
      <c r="G5" s="162"/>
      <c r="H5" s="162"/>
      <c r="I5" s="125"/>
      <c r="J5" s="162"/>
      <c r="K5" s="164" t="s">
        <v>299</v>
      </c>
      <c r="L5" s="164"/>
      <c r="N5" s="7"/>
    </row>
    <row r="6" spans="1:16" ht="15" customHeight="1" x14ac:dyDescent="0.2">
      <c r="A6" s="321" t="s">
        <v>6</v>
      </c>
      <c r="B6" s="324" t="s">
        <v>7</v>
      </c>
      <c r="C6" s="327" t="s">
        <v>8</v>
      </c>
      <c r="D6" s="324" t="s">
        <v>9</v>
      </c>
      <c r="E6" s="324" t="s">
        <v>10</v>
      </c>
      <c r="F6" s="324" t="s">
        <v>11</v>
      </c>
      <c r="G6" s="330" t="s">
        <v>12</v>
      </c>
      <c r="H6" s="331"/>
      <c r="I6" s="331"/>
      <c r="J6" s="332"/>
      <c r="K6" s="333" t="s">
        <v>13</v>
      </c>
      <c r="L6" s="336" t="s">
        <v>14</v>
      </c>
    </row>
    <row r="7" spans="1:16" ht="11.25" customHeight="1" x14ac:dyDescent="0.2">
      <c r="A7" s="322"/>
      <c r="B7" s="325"/>
      <c r="C7" s="328"/>
      <c r="D7" s="325"/>
      <c r="E7" s="325"/>
      <c r="F7" s="325"/>
      <c r="G7" s="339" t="s">
        <v>16</v>
      </c>
      <c r="H7" s="340"/>
      <c r="I7" s="341" t="s">
        <v>17</v>
      </c>
      <c r="J7" s="342" t="s">
        <v>14</v>
      </c>
      <c r="K7" s="334"/>
      <c r="L7" s="337"/>
      <c r="N7" s="318" t="s">
        <v>18</v>
      </c>
    </row>
    <row r="8" spans="1:16" ht="21.75" thickBot="1" x14ac:dyDescent="0.25">
      <c r="A8" s="323"/>
      <c r="B8" s="326"/>
      <c r="C8" s="329"/>
      <c r="D8" s="326"/>
      <c r="E8" s="326"/>
      <c r="F8" s="326"/>
      <c r="G8" s="10" t="s">
        <v>19</v>
      </c>
      <c r="H8" s="10" t="s">
        <v>20</v>
      </c>
      <c r="I8" s="326"/>
      <c r="J8" s="338"/>
      <c r="K8" s="335"/>
      <c r="L8" s="338"/>
      <c r="N8" s="319"/>
    </row>
    <row r="9" spans="1:16" ht="15.75" hidden="1" customHeight="1" x14ac:dyDescent="0.25">
      <c r="A9" s="11">
        <v>1</v>
      </c>
      <c r="B9" s="313">
        <v>2</v>
      </c>
      <c r="C9" s="314"/>
      <c r="D9" s="202">
        <v>3</v>
      </c>
      <c r="E9" s="202">
        <v>4</v>
      </c>
      <c r="F9" s="202">
        <v>5</v>
      </c>
      <c r="G9" s="202">
        <v>6</v>
      </c>
      <c r="H9" s="202" t="s">
        <v>21</v>
      </c>
      <c r="I9" s="202">
        <v>9</v>
      </c>
      <c r="J9" s="201" t="s">
        <v>22</v>
      </c>
      <c r="K9" s="200" t="s">
        <v>23</v>
      </c>
      <c r="L9" s="201" t="s">
        <v>24</v>
      </c>
      <c r="N9" s="202">
        <v>9</v>
      </c>
    </row>
    <row r="10" spans="1:16" ht="10.5" x14ac:dyDescent="0.25">
      <c r="A10" s="172"/>
      <c r="B10" s="26"/>
      <c r="C10" s="27" t="s">
        <v>25</v>
      </c>
      <c r="D10" s="144">
        <f>D14+D12</f>
        <v>16854507513</v>
      </c>
      <c r="E10" s="156">
        <v>100</v>
      </c>
      <c r="F10" s="160">
        <v>100</v>
      </c>
      <c r="G10" s="156">
        <f>J10</f>
        <v>34.379197283164189</v>
      </c>
      <c r="H10" s="160">
        <f>E10*G10/100</f>
        <v>34.379197283164189</v>
      </c>
      <c r="I10" s="135">
        <f>I12+I14</f>
        <v>5794444389</v>
      </c>
      <c r="J10" s="163">
        <f>I10/D10*100</f>
        <v>34.379197283164189</v>
      </c>
      <c r="K10" s="165">
        <f>K14+K12</f>
        <v>11060063124</v>
      </c>
      <c r="L10" s="73">
        <f>K10/D10*100</f>
        <v>65.620802716835811</v>
      </c>
      <c r="N10" s="31">
        <v>11493328563</v>
      </c>
      <c r="O10" s="36">
        <f>I10-N10</f>
        <v>-5698884174</v>
      </c>
    </row>
    <row r="11" spans="1:16" ht="10.5" x14ac:dyDescent="0.25">
      <c r="A11" s="172"/>
      <c r="B11" s="37"/>
      <c r="C11" s="38"/>
      <c r="D11" s="145"/>
      <c r="E11" s="157"/>
      <c r="F11" s="157"/>
      <c r="G11" s="157"/>
      <c r="H11" s="157"/>
      <c r="I11" s="134"/>
      <c r="J11" s="73"/>
      <c r="K11" s="165"/>
      <c r="L11" s="73"/>
      <c r="N11" s="40"/>
      <c r="O11" s="36">
        <f>I11-N11</f>
        <v>0</v>
      </c>
    </row>
    <row r="12" spans="1:16" ht="24.75" customHeight="1" x14ac:dyDescent="0.25">
      <c r="A12" s="173">
        <v>1</v>
      </c>
      <c r="B12" s="26" t="s">
        <v>26</v>
      </c>
      <c r="C12" s="27" t="s">
        <v>27</v>
      </c>
      <c r="D12" s="144">
        <f>D13</f>
        <v>3935294040</v>
      </c>
      <c r="E12" s="156">
        <f>D12/D10*100</f>
        <v>23.348614825824367</v>
      </c>
      <c r="F12" s="156">
        <v>100</v>
      </c>
      <c r="G12" s="156">
        <f>J12</f>
        <v>50.268531929065205</v>
      </c>
      <c r="H12" s="156">
        <f>E12*G12/100</f>
        <v>11.737005898713974</v>
      </c>
      <c r="I12" s="135">
        <f>I13</f>
        <v>1978214541</v>
      </c>
      <c r="J12" s="163">
        <f>I12/D12*100</f>
        <v>50.268531929065205</v>
      </c>
      <c r="K12" s="165">
        <f t="shared" ref="K12:K25" si="0">D12-I12</f>
        <v>1957079499</v>
      </c>
      <c r="L12" s="73">
        <f>L13</f>
        <v>49.731468070934795</v>
      </c>
      <c r="N12" s="31">
        <v>2383915726</v>
      </c>
      <c r="O12" s="36">
        <f>I12-N12</f>
        <v>-405701185</v>
      </c>
    </row>
    <row r="13" spans="1:16" ht="18" customHeight="1" x14ac:dyDescent="0.25">
      <c r="A13" s="173"/>
      <c r="B13" s="178" t="s">
        <v>28</v>
      </c>
      <c r="C13" s="188" t="s">
        <v>29</v>
      </c>
      <c r="D13" s="145">
        <v>3935294040</v>
      </c>
      <c r="E13" s="157">
        <v>17.490661184813938</v>
      </c>
      <c r="F13" s="157">
        <v>100</v>
      </c>
      <c r="G13" s="157">
        <v>96.902457381452479</v>
      </c>
      <c r="H13" s="157">
        <v>16.948880500348579</v>
      </c>
      <c r="I13" s="195">
        <f>160497820+320404365+157500000+473997396+417396900+448418060</f>
        <v>1978214541</v>
      </c>
      <c r="J13" s="73">
        <f>I13/D13*100</f>
        <v>50.268531929065205</v>
      </c>
      <c r="K13" s="166">
        <f>D13-I13</f>
        <v>1957079499</v>
      </c>
      <c r="L13" s="73">
        <f>F13-J13</f>
        <v>49.731468070934795</v>
      </c>
      <c r="N13" s="31"/>
      <c r="O13" s="36"/>
    </row>
    <row r="14" spans="1:16" ht="10.5" x14ac:dyDescent="0.25">
      <c r="A14" s="173">
        <v>2</v>
      </c>
      <c r="B14" s="26" t="s">
        <v>30</v>
      </c>
      <c r="C14" s="27" t="s">
        <v>31</v>
      </c>
      <c r="D14" s="144">
        <f>D15+D27+D36+D40+D43+D52+D58+D61+D64+D67+D72+D77+D90+D99+D106</f>
        <v>12919213473</v>
      </c>
      <c r="E14" s="158">
        <f>D14/D10*100</f>
        <v>76.65138517417563</v>
      </c>
      <c r="F14" s="160">
        <v>100</v>
      </c>
      <c r="G14" s="160">
        <f>J14</f>
        <v>29.539180972398814</v>
      </c>
      <c r="H14" s="158">
        <f>G14*E14/100</f>
        <v>22.642191384450211</v>
      </c>
      <c r="I14" s="136">
        <f>I15+I27+I36+I40+I43+I52+I58+I61+I64+I67+I72+I77+I90+I99+I106</f>
        <v>3816229848</v>
      </c>
      <c r="J14" s="163">
        <f t="shared" ref="J14:J25" si="1">I14/D14*100</f>
        <v>29.539180972398814</v>
      </c>
      <c r="K14" s="165">
        <f t="shared" si="0"/>
        <v>9102983625</v>
      </c>
      <c r="L14" s="73">
        <f t="shared" ref="L14:L25" si="2">K14/D14*100</f>
        <v>70.46081902760119</v>
      </c>
      <c r="M14" s="56"/>
      <c r="N14" s="31">
        <v>9109412837</v>
      </c>
      <c r="O14" s="36">
        <f t="shared" ref="O14:O20" si="3">I14-N14</f>
        <v>-5293182989</v>
      </c>
      <c r="P14" s="57"/>
    </row>
    <row r="15" spans="1:16" ht="20.100000000000001" x14ac:dyDescent="0.25">
      <c r="A15" s="172" t="s">
        <v>32</v>
      </c>
      <c r="B15" s="177" t="s">
        <v>208</v>
      </c>
      <c r="C15" s="27" t="str">
        <f>[1]April!$C$24</f>
        <v>Program Pelayanan Administrasi Perkantoran</v>
      </c>
      <c r="D15" s="144">
        <f>SUM(D16:D25)</f>
        <v>1858599473</v>
      </c>
      <c r="E15" s="156">
        <f>D15/D14*100</f>
        <v>14.386320629226434</v>
      </c>
      <c r="F15" s="156">
        <f>AVERAGE(F16:F25)</f>
        <v>100</v>
      </c>
      <c r="G15" s="156">
        <f>J15</f>
        <v>53.120643653599053</v>
      </c>
      <c r="H15" s="156">
        <f>G15*E15/100</f>
        <v>7.642106116315583</v>
      </c>
      <c r="I15" s="136">
        <f>SUM(I16:I25)</f>
        <v>987300003</v>
      </c>
      <c r="J15" s="163">
        <f t="shared" si="1"/>
        <v>53.120643653599053</v>
      </c>
      <c r="K15" s="165">
        <f t="shared" si="0"/>
        <v>871299470</v>
      </c>
      <c r="L15" s="73">
        <f t="shared" si="2"/>
        <v>46.879356346400947</v>
      </c>
      <c r="N15" s="31">
        <v>1291959978</v>
      </c>
      <c r="O15" s="36">
        <f t="shared" si="3"/>
        <v>-304659975</v>
      </c>
    </row>
    <row r="16" spans="1:16" ht="10.5" x14ac:dyDescent="0.25">
      <c r="A16" s="174"/>
      <c r="B16" s="178" t="s">
        <v>207</v>
      </c>
      <c r="C16" s="188" t="s">
        <v>35</v>
      </c>
      <c r="D16" s="137">
        <v>27000000</v>
      </c>
      <c r="E16" s="157">
        <f>D16/D15*100</f>
        <v>1.452706750014235</v>
      </c>
      <c r="F16" s="157">
        <v>100</v>
      </c>
      <c r="G16" s="157">
        <f>J16</f>
        <v>50</v>
      </c>
      <c r="H16" s="157">
        <f>G16*E16/100</f>
        <v>0.72635337500711761</v>
      </c>
      <c r="I16" s="137">
        <f>6750000+6750000</f>
        <v>13500000</v>
      </c>
      <c r="J16" s="73">
        <f t="shared" si="1"/>
        <v>50</v>
      </c>
      <c r="K16" s="166">
        <f t="shared" si="0"/>
        <v>13500000</v>
      </c>
      <c r="L16" s="73">
        <f t="shared" si="2"/>
        <v>50</v>
      </c>
      <c r="N16" s="51">
        <v>16505000</v>
      </c>
      <c r="O16" s="36">
        <f t="shared" si="3"/>
        <v>-3005000</v>
      </c>
    </row>
    <row r="17" spans="1:15" ht="20.100000000000001" x14ac:dyDescent="0.25">
      <c r="A17" s="174"/>
      <c r="B17" s="178" t="s">
        <v>209</v>
      </c>
      <c r="C17" s="47" t="s">
        <v>37</v>
      </c>
      <c r="D17" s="137">
        <v>655000000</v>
      </c>
      <c r="E17" s="157">
        <f>D17/D15*100</f>
        <v>35.241589676271253</v>
      </c>
      <c r="F17" s="157">
        <v>100</v>
      </c>
      <c r="G17" s="157">
        <v>9.07</v>
      </c>
      <c r="H17" s="157">
        <f>G17*E17/100</f>
        <v>3.1964121836378028</v>
      </c>
      <c r="I17" s="186">
        <f>79622784+70000000+135636223+33132043+24504111</f>
        <v>342895161</v>
      </c>
      <c r="J17" s="73">
        <f t="shared" si="1"/>
        <v>52.350406259541984</v>
      </c>
      <c r="K17" s="166">
        <f t="shared" si="0"/>
        <v>312104839</v>
      </c>
      <c r="L17" s="73">
        <f t="shared" si="2"/>
        <v>47.649593740458016</v>
      </c>
      <c r="N17" s="51">
        <v>504908116</v>
      </c>
      <c r="O17" s="36">
        <f t="shared" si="3"/>
        <v>-162012955</v>
      </c>
    </row>
    <row r="18" spans="1:15" ht="20.100000000000001" x14ac:dyDescent="0.25">
      <c r="A18" s="174"/>
      <c r="B18" s="178" t="s">
        <v>210</v>
      </c>
      <c r="C18" s="188" t="s">
        <v>39</v>
      </c>
      <c r="D18" s="138">
        <v>266100000</v>
      </c>
      <c r="E18" s="157">
        <f>D18/D15*100</f>
        <v>14.317232080695849</v>
      </c>
      <c r="F18" s="157">
        <v>100</v>
      </c>
      <c r="G18" s="157">
        <f>J18</f>
        <v>45.425779782036827</v>
      </c>
      <c r="H18" s="157">
        <f t="shared" ref="H18:H81" si="4">G18*E18/100</f>
        <v>6.5037143158600257</v>
      </c>
      <c r="I18" s="186">
        <f>2000000+3789000+51500000+18670000+44919000</f>
        <v>120878000</v>
      </c>
      <c r="J18" s="73">
        <f t="shared" si="1"/>
        <v>45.425779782036827</v>
      </c>
      <c r="K18" s="166">
        <f t="shared" si="0"/>
        <v>145222000</v>
      </c>
      <c r="L18" s="73">
        <f t="shared" si="2"/>
        <v>54.574220217963173</v>
      </c>
      <c r="N18" s="51">
        <v>138855000</v>
      </c>
      <c r="O18" s="36">
        <f t="shared" si="3"/>
        <v>-17977000</v>
      </c>
    </row>
    <row r="19" spans="1:15" ht="10.5" x14ac:dyDescent="0.25">
      <c r="A19" s="174"/>
      <c r="B19" s="178" t="s">
        <v>211</v>
      </c>
      <c r="C19" s="47" t="s">
        <v>41</v>
      </c>
      <c r="D19" s="138">
        <v>67180000</v>
      </c>
      <c r="E19" s="157">
        <f>D19/D15*100</f>
        <v>3.6145496098502337</v>
      </c>
      <c r="F19" s="157">
        <v>100</v>
      </c>
      <c r="G19" s="157">
        <f t="shared" ref="G19:G82" si="5">J19</f>
        <v>49.407561774337601</v>
      </c>
      <c r="H19" s="157">
        <f t="shared" si="4"/>
        <v>1.7858608313508331</v>
      </c>
      <c r="I19" s="137">
        <f>16596000+16596000</f>
        <v>33192000</v>
      </c>
      <c r="J19" s="73">
        <f t="shared" si="1"/>
        <v>49.407561774337601</v>
      </c>
      <c r="K19" s="166">
        <f t="shared" si="0"/>
        <v>33988000</v>
      </c>
      <c r="L19" s="73">
        <f t="shared" si="2"/>
        <v>50.592438225662391</v>
      </c>
      <c r="N19" s="51">
        <v>30435000</v>
      </c>
      <c r="O19" s="36">
        <f t="shared" si="3"/>
        <v>2757000</v>
      </c>
    </row>
    <row r="20" spans="1:15" ht="20.100000000000001" x14ac:dyDescent="0.25">
      <c r="A20" s="174"/>
      <c r="B20" s="178" t="s">
        <v>212</v>
      </c>
      <c r="C20" s="47" t="s">
        <v>43</v>
      </c>
      <c r="D20" s="138">
        <v>62180000</v>
      </c>
      <c r="E20" s="157">
        <f>D20/D15*100</f>
        <v>3.3455298413290793</v>
      </c>
      <c r="F20" s="157">
        <v>100</v>
      </c>
      <c r="G20" s="157">
        <f t="shared" si="5"/>
        <v>44.771952396268901</v>
      </c>
      <c r="H20" s="157">
        <f t="shared" si="4"/>
        <v>1.4978590279628259</v>
      </c>
      <c r="I20" s="186">
        <f>14585000+13254200</f>
        <v>27839200</v>
      </c>
      <c r="J20" s="73">
        <f t="shared" si="1"/>
        <v>44.771952396268901</v>
      </c>
      <c r="K20" s="166">
        <f t="shared" si="0"/>
        <v>34340800</v>
      </c>
      <c r="L20" s="73">
        <f t="shared" si="2"/>
        <v>55.228047603731099</v>
      </c>
      <c r="N20" s="51">
        <v>36271000</v>
      </c>
      <c r="O20" s="36">
        <f t="shared" si="3"/>
        <v>-8431800</v>
      </c>
    </row>
    <row r="21" spans="1:15" ht="30" x14ac:dyDescent="0.25">
      <c r="A21" s="174"/>
      <c r="B21" s="178" t="s">
        <v>213</v>
      </c>
      <c r="C21" s="47" t="s">
        <v>45</v>
      </c>
      <c r="D21" s="138">
        <v>14340000</v>
      </c>
      <c r="E21" s="157">
        <f>D21/D14*100</f>
        <v>0.11099746923424801</v>
      </c>
      <c r="F21" s="157">
        <v>100</v>
      </c>
      <c r="G21" s="157">
        <f t="shared" si="5"/>
        <v>40.446304044630402</v>
      </c>
      <c r="H21" s="157">
        <f t="shared" si="4"/>
        <v>4.4894373888329044E-2</v>
      </c>
      <c r="I21" s="137">
        <v>5800000</v>
      </c>
      <c r="J21" s="73">
        <f t="shared" si="1"/>
        <v>40.446304044630402</v>
      </c>
      <c r="K21" s="166">
        <f t="shared" si="0"/>
        <v>8540000</v>
      </c>
      <c r="L21" s="73">
        <f t="shared" si="2"/>
        <v>59.553695955369598</v>
      </c>
      <c r="N21" s="51"/>
      <c r="O21" s="36"/>
    </row>
    <row r="22" spans="1:15" ht="23.25" customHeight="1" x14ac:dyDescent="0.25">
      <c r="A22" s="174"/>
      <c r="B22" s="178" t="s">
        <v>214</v>
      </c>
      <c r="C22" s="188" t="s">
        <v>47</v>
      </c>
      <c r="D22" s="138">
        <v>47780000</v>
      </c>
      <c r="E22" s="157">
        <f>D22/D15*100</f>
        <v>2.5707529079881537</v>
      </c>
      <c r="F22" s="157">
        <v>100</v>
      </c>
      <c r="G22" s="157">
        <f t="shared" si="5"/>
        <v>38.575763917957303</v>
      </c>
      <c r="H22" s="157">
        <f t="shared" si="4"/>
        <v>0.99168757269953234</v>
      </c>
      <c r="I22" s="186">
        <f>3841000+7350000+3730500+3510000</f>
        <v>18431500</v>
      </c>
      <c r="J22" s="73">
        <f t="shared" si="1"/>
        <v>38.575763917957303</v>
      </c>
      <c r="K22" s="166">
        <f t="shared" si="0"/>
        <v>29348500</v>
      </c>
      <c r="L22" s="73">
        <f t="shared" si="2"/>
        <v>61.424236082042697</v>
      </c>
      <c r="N22" s="51">
        <v>22580000</v>
      </c>
      <c r="O22" s="36">
        <f t="shared" ref="O22:O35" si="6">I22-N22</f>
        <v>-4148500</v>
      </c>
    </row>
    <row r="23" spans="1:15" ht="20.100000000000001" x14ac:dyDescent="0.25">
      <c r="A23" s="174"/>
      <c r="B23" s="178" t="s">
        <v>215</v>
      </c>
      <c r="C23" s="47" t="s">
        <v>49</v>
      </c>
      <c r="D23" s="138">
        <v>96640000</v>
      </c>
      <c r="E23" s="157">
        <f>D23/D15*100</f>
        <v>5.1996140859768767</v>
      </c>
      <c r="F23" s="157">
        <v>100</v>
      </c>
      <c r="G23" s="157">
        <f t="shared" si="5"/>
        <v>78.868998344370866</v>
      </c>
      <c r="H23" s="157">
        <f t="shared" si="4"/>
        <v>4.1008835473827769</v>
      </c>
      <c r="I23" s="137">
        <f>5000000+44000000+27219000</f>
        <v>76219000</v>
      </c>
      <c r="J23" s="73">
        <f t="shared" si="1"/>
        <v>78.868998344370866</v>
      </c>
      <c r="K23" s="166">
        <f t="shared" si="0"/>
        <v>20421000</v>
      </c>
      <c r="L23" s="73">
        <f t="shared" si="2"/>
        <v>21.131001655629138</v>
      </c>
      <c r="N23" s="51">
        <v>56291750</v>
      </c>
      <c r="O23" s="36">
        <f t="shared" si="6"/>
        <v>19927250</v>
      </c>
    </row>
    <row r="24" spans="1:15" ht="20.100000000000001" x14ac:dyDescent="0.25">
      <c r="A24" s="174"/>
      <c r="B24" s="178" t="s">
        <v>216</v>
      </c>
      <c r="C24" s="47" t="s">
        <v>51</v>
      </c>
      <c r="D24" s="138">
        <v>593199473</v>
      </c>
      <c r="E24" s="157">
        <f>D24/D15*100</f>
        <v>31.916476982666186</v>
      </c>
      <c r="F24" s="157">
        <v>100</v>
      </c>
      <c r="G24" s="157">
        <f t="shared" si="5"/>
        <v>56.996871607133073</v>
      </c>
      <c r="H24" s="157">
        <f t="shared" si="4"/>
        <v>18.191393407330427</v>
      </c>
      <c r="I24" s="138">
        <f>24878142+30000000+257000000+26227000</f>
        <v>338105142</v>
      </c>
      <c r="J24" s="73">
        <f t="shared" si="1"/>
        <v>56.996871607133073</v>
      </c>
      <c r="K24" s="166">
        <f t="shared" si="0"/>
        <v>255094331</v>
      </c>
      <c r="L24" s="73">
        <f t="shared" si="2"/>
        <v>43.003128392866927</v>
      </c>
      <c r="N24" s="51">
        <v>477449112</v>
      </c>
      <c r="O24" s="36">
        <f t="shared" si="6"/>
        <v>-139343970</v>
      </c>
    </row>
    <row r="25" spans="1:15" ht="20.100000000000001" x14ac:dyDescent="0.25">
      <c r="A25" s="174"/>
      <c r="B25" s="178" t="s">
        <v>217</v>
      </c>
      <c r="C25" s="47" t="s">
        <v>53</v>
      </c>
      <c r="D25" s="138">
        <v>29180000</v>
      </c>
      <c r="E25" s="157">
        <f>D25/D15*100</f>
        <v>1.5699993690894583</v>
      </c>
      <c r="F25" s="157">
        <v>100</v>
      </c>
      <c r="G25" s="157">
        <f t="shared" si="5"/>
        <v>35.777930089102121</v>
      </c>
      <c r="H25" s="157">
        <f t="shared" si="4"/>
        <v>0.56171327667217075</v>
      </c>
      <c r="I25" s="137">
        <f>440000+10000000</f>
        <v>10440000</v>
      </c>
      <c r="J25" s="73">
        <f t="shared" si="1"/>
        <v>35.777930089102121</v>
      </c>
      <c r="K25" s="166">
        <f t="shared" si="0"/>
        <v>18740000</v>
      </c>
      <c r="L25" s="73">
        <f t="shared" si="2"/>
        <v>64.222069910897872</v>
      </c>
      <c r="N25" s="51">
        <v>8665000</v>
      </c>
      <c r="O25" s="36">
        <f t="shared" si="6"/>
        <v>1775000</v>
      </c>
    </row>
    <row r="26" spans="1:15" ht="10.5" x14ac:dyDescent="0.25">
      <c r="A26" s="174"/>
      <c r="B26" s="46"/>
      <c r="C26" s="47"/>
      <c r="D26" s="138"/>
      <c r="E26" s="156"/>
      <c r="F26" s="156"/>
      <c r="G26" s="157"/>
      <c r="H26" s="157"/>
      <c r="I26" s="137"/>
      <c r="J26" s="73"/>
      <c r="K26" s="166"/>
      <c r="L26" s="73"/>
      <c r="N26" s="51"/>
      <c r="O26" s="36">
        <f t="shared" si="6"/>
        <v>0</v>
      </c>
    </row>
    <row r="27" spans="1:15" ht="30" x14ac:dyDescent="0.25">
      <c r="A27" s="172" t="s">
        <v>54</v>
      </c>
      <c r="B27" s="171" t="s">
        <v>218</v>
      </c>
      <c r="C27" s="27" t="str">
        <f>[1]April!$C$102</f>
        <v>Program Peningkatan Sarana dan Prasarana Aparatur</v>
      </c>
      <c r="D27" s="144">
        <f>SUM(D28:D34)</f>
        <v>1032060000</v>
      </c>
      <c r="E27" s="156">
        <f>D27/D14*100</f>
        <v>7.9885668129635992</v>
      </c>
      <c r="F27" s="156">
        <f>AVERAGE(F28:F34)</f>
        <v>100</v>
      </c>
      <c r="G27" s="156">
        <f>J27</f>
        <v>21.329420188748717</v>
      </c>
      <c r="H27" s="156">
        <f>G27*E27/100</f>
        <v>1.7039149825959379</v>
      </c>
      <c r="I27" s="136">
        <f>SUM(I28:I34)</f>
        <v>220132414</v>
      </c>
      <c r="J27" s="163">
        <f t="shared" ref="J27:J34" si="7">I27/D27*100</f>
        <v>21.329420188748717</v>
      </c>
      <c r="K27" s="165">
        <f t="shared" ref="K27:K34" si="8">D27-I27</f>
        <v>811927586</v>
      </c>
      <c r="L27" s="73">
        <f>K27/D27*100</f>
        <v>78.670579811251287</v>
      </c>
      <c r="N27" s="31">
        <v>485504227</v>
      </c>
      <c r="O27" s="36">
        <f t="shared" si="6"/>
        <v>-265371813</v>
      </c>
    </row>
    <row r="28" spans="1:15" ht="20.100000000000001" x14ac:dyDescent="0.25">
      <c r="A28" s="174"/>
      <c r="B28" s="178" t="s">
        <v>219</v>
      </c>
      <c r="C28" s="189" t="s">
        <v>59</v>
      </c>
      <c r="D28" s="146">
        <v>29450000</v>
      </c>
      <c r="E28" s="157">
        <f>D28/D27*100</f>
        <v>2.8535162684340056</v>
      </c>
      <c r="F28" s="157">
        <v>100</v>
      </c>
      <c r="G28" s="157">
        <f t="shared" si="5"/>
        <v>0</v>
      </c>
      <c r="H28" s="157">
        <f t="shared" si="4"/>
        <v>0</v>
      </c>
      <c r="I28" s="137">
        <v>0</v>
      </c>
      <c r="J28" s="73">
        <f t="shared" si="7"/>
        <v>0</v>
      </c>
      <c r="K28" s="166">
        <f t="shared" si="8"/>
        <v>29450000</v>
      </c>
      <c r="L28" s="73">
        <f t="shared" ref="L28:L34" si="9">K28/D28*100</f>
        <v>100</v>
      </c>
      <c r="N28" s="51">
        <v>51710000</v>
      </c>
      <c r="O28" s="36">
        <f t="shared" si="6"/>
        <v>-51710000</v>
      </c>
    </row>
    <row r="29" spans="1:15" ht="20.100000000000001" x14ac:dyDescent="0.25">
      <c r="A29" s="174"/>
      <c r="B29" s="178" t="s">
        <v>220</v>
      </c>
      <c r="C29" s="193" t="s">
        <v>61</v>
      </c>
      <c r="D29" s="146">
        <v>148880000</v>
      </c>
      <c r="E29" s="157">
        <f>D29/D27*100</f>
        <v>14.425517896246342</v>
      </c>
      <c r="F29" s="157">
        <v>100</v>
      </c>
      <c r="G29" s="157">
        <f t="shared" si="5"/>
        <v>0</v>
      </c>
      <c r="H29" s="157">
        <f t="shared" si="4"/>
        <v>0</v>
      </c>
      <c r="I29" s="137">
        <v>0</v>
      </c>
      <c r="J29" s="73">
        <f t="shared" si="7"/>
        <v>0</v>
      </c>
      <c r="K29" s="166">
        <f t="shared" si="8"/>
        <v>148880000</v>
      </c>
      <c r="L29" s="73">
        <f t="shared" si="9"/>
        <v>100</v>
      </c>
      <c r="N29" s="51">
        <v>122060000</v>
      </c>
      <c r="O29" s="36">
        <f t="shared" si="6"/>
        <v>-122060000</v>
      </c>
    </row>
    <row r="30" spans="1:15" ht="10.5" x14ac:dyDescent="0.25">
      <c r="A30" s="174"/>
      <c r="B30" s="178" t="s">
        <v>221</v>
      </c>
      <c r="C30" s="189" t="s">
        <v>63</v>
      </c>
      <c r="D30" s="146">
        <v>19630000</v>
      </c>
      <c r="E30" s="157">
        <f>D30/D27*100</f>
        <v>1.902021200317811</v>
      </c>
      <c r="F30" s="157">
        <v>100</v>
      </c>
      <c r="G30" s="157">
        <f t="shared" si="5"/>
        <v>0</v>
      </c>
      <c r="H30" s="157">
        <f t="shared" si="4"/>
        <v>0</v>
      </c>
      <c r="I30" s="137">
        <v>0</v>
      </c>
      <c r="J30" s="73">
        <f t="shared" si="7"/>
        <v>0</v>
      </c>
      <c r="K30" s="166">
        <f t="shared" si="8"/>
        <v>19630000</v>
      </c>
      <c r="L30" s="73">
        <f t="shared" si="9"/>
        <v>100</v>
      </c>
      <c r="N30" s="51">
        <v>20210000</v>
      </c>
      <c r="O30" s="36">
        <f t="shared" si="6"/>
        <v>-20210000</v>
      </c>
    </row>
    <row r="31" spans="1:15" ht="20.100000000000001" x14ac:dyDescent="0.25">
      <c r="A31" s="174"/>
      <c r="B31" s="178" t="s">
        <v>222</v>
      </c>
      <c r="C31" s="188" t="s">
        <v>65</v>
      </c>
      <c r="D31" s="138">
        <v>97180000</v>
      </c>
      <c r="E31" s="157">
        <f>D31/D27*100</f>
        <v>9.4161192178749289</v>
      </c>
      <c r="F31" s="157">
        <v>100</v>
      </c>
      <c r="G31" s="157">
        <f t="shared" si="5"/>
        <v>23.266104136653631</v>
      </c>
      <c r="H31" s="157">
        <f t="shared" si="4"/>
        <v>2.1907641028622367</v>
      </c>
      <c r="I31" s="137">
        <v>22610000</v>
      </c>
      <c r="J31" s="73">
        <f t="shared" si="7"/>
        <v>23.266104136653631</v>
      </c>
      <c r="K31" s="166">
        <f t="shared" si="8"/>
        <v>74570000</v>
      </c>
      <c r="L31" s="73">
        <f t="shared" si="9"/>
        <v>76.733895863346362</v>
      </c>
      <c r="N31" s="51">
        <v>41250000</v>
      </c>
      <c r="O31" s="36">
        <f t="shared" si="6"/>
        <v>-18640000</v>
      </c>
    </row>
    <row r="32" spans="1:15" ht="20.100000000000001" x14ac:dyDescent="0.25">
      <c r="A32" s="174"/>
      <c r="B32" s="178" t="s">
        <v>223</v>
      </c>
      <c r="C32" s="188" t="s">
        <v>67</v>
      </c>
      <c r="D32" s="138">
        <v>566100000</v>
      </c>
      <c r="E32" s="157">
        <f>D32/D27*100</f>
        <v>54.851462124295104</v>
      </c>
      <c r="F32" s="157">
        <v>100</v>
      </c>
      <c r="G32" s="157">
        <f t="shared" si="5"/>
        <v>24.229361243596536</v>
      </c>
      <c r="H32" s="157">
        <f t="shared" si="4"/>
        <v>13.29015890548999</v>
      </c>
      <c r="I32" s="186">
        <f>36950000+50000000+5265214+800000+44147200</f>
        <v>137162414</v>
      </c>
      <c r="J32" s="73">
        <f t="shared" si="7"/>
        <v>24.229361243596536</v>
      </c>
      <c r="K32" s="166">
        <f t="shared" si="8"/>
        <v>428937586</v>
      </c>
      <c r="L32" s="73">
        <f t="shared" si="9"/>
        <v>75.770638756403457</v>
      </c>
      <c r="N32" s="51">
        <v>164604727</v>
      </c>
      <c r="O32" s="36">
        <f t="shared" si="6"/>
        <v>-27442313</v>
      </c>
    </row>
    <row r="33" spans="1:15" ht="20.100000000000001" x14ac:dyDescent="0.25">
      <c r="A33" s="174"/>
      <c r="B33" s="178" t="s">
        <v>224</v>
      </c>
      <c r="C33" s="188" t="s">
        <v>69</v>
      </c>
      <c r="D33" s="138">
        <v>49180000</v>
      </c>
      <c r="E33" s="157">
        <f>D33/D27*100</f>
        <v>4.7652268278976031</v>
      </c>
      <c r="F33" s="157">
        <v>100</v>
      </c>
      <c r="G33" s="157">
        <f t="shared" si="5"/>
        <v>46.563643757625051</v>
      </c>
      <c r="H33" s="157">
        <f t="shared" si="4"/>
        <v>2.2188632443850165</v>
      </c>
      <c r="I33" s="137">
        <f>4160000+8320000+10420000</f>
        <v>22900000</v>
      </c>
      <c r="J33" s="73">
        <f t="shared" si="7"/>
        <v>46.563643757625051</v>
      </c>
      <c r="K33" s="166">
        <f t="shared" si="8"/>
        <v>26280000</v>
      </c>
      <c r="L33" s="73">
        <f t="shared" si="9"/>
        <v>53.436356242374949</v>
      </c>
      <c r="N33" s="51">
        <v>5500000</v>
      </c>
      <c r="O33" s="36">
        <f t="shared" si="6"/>
        <v>17400000</v>
      </c>
    </row>
    <row r="34" spans="1:15" ht="20.100000000000001" x14ac:dyDescent="0.25">
      <c r="A34" s="174"/>
      <c r="B34" s="178" t="s">
        <v>225</v>
      </c>
      <c r="C34" s="188" t="s">
        <v>71</v>
      </c>
      <c r="D34" s="138">
        <v>121640000</v>
      </c>
      <c r="E34" s="157">
        <f>D34/D27*100</f>
        <v>11.786136464934209</v>
      </c>
      <c r="F34" s="157">
        <v>100</v>
      </c>
      <c r="G34" s="157">
        <f t="shared" si="5"/>
        <v>30.795790858270305</v>
      </c>
      <c r="H34" s="157">
        <f t="shared" si="4"/>
        <v>3.6296339360114724</v>
      </c>
      <c r="I34" s="186">
        <f>22000000+11990000+3470000</f>
        <v>37460000</v>
      </c>
      <c r="J34" s="73">
        <f t="shared" si="7"/>
        <v>30.795790858270305</v>
      </c>
      <c r="K34" s="166">
        <f t="shared" si="8"/>
        <v>84180000</v>
      </c>
      <c r="L34" s="73">
        <f t="shared" si="9"/>
        <v>69.204209141729692</v>
      </c>
      <c r="N34" s="51">
        <v>44189500</v>
      </c>
      <c r="O34" s="36">
        <f t="shared" si="6"/>
        <v>-6729500</v>
      </c>
    </row>
    <row r="35" spans="1:15" ht="10.5" x14ac:dyDescent="0.25">
      <c r="A35" s="174"/>
      <c r="B35" s="46"/>
      <c r="C35" s="47"/>
      <c r="D35" s="138"/>
      <c r="E35" s="157"/>
      <c r="F35" s="157"/>
      <c r="G35" s="157"/>
      <c r="H35" s="157"/>
      <c r="I35" s="139"/>
      <c r="J35" s="73"/>
      <c r="K35" s="166"/>
      <c r="L35" s="73"/>
      <c r="N35" s="51"/>
      <c r="O35" s="36">
        <f t="shared" si="6"/>
        <v>0</v>
      </c>
    </row>
    <row r="36" spans="1:15" ht="21" x14ac:dyDescent="0.2">
      <c r="A36" s="172" t="s">
        <v>72</v>
      </c>
      <c r="B36" s="180" t="s">
        <v>226</v>
      </c>
      <c r="C36" s="38" t="s">
        <v>74</v>
      </c>
      <c r="D36" s="140">
        <f>SUM(D37:D38)</f>
        <v>93160000</v>
      </c>
      <c r="E36" s="156">
        <f>D36/D14*100</f>
        <v>0.72109652955805759</v>
      </c>
      <c r="F36" s="156">
        <v>100</v>
      </c>
      <c r="G36" s="156">
        <f>J36</f>
        <v>44.826105624731646</v>
      </c>
      <c r="H36" s="156">
        <f>G36*E36/100</f>
        <v>0.32323949199596919</v>
      </c>
      <c r="I36" s="140">
        <f>SUM(I37:I38)</f>
        <v>41760000</v>
      </c>
      <c r="J36" s="163">
        <f>I36/D36*100</f>
        <v>44.826105624731646</v>
      </c>
      <c r="K36" s="165">
        <f>D36-I36</f>
        <v>51400000</v>
      </c>
      <c r="L36" s="73">
        <f>K36/D36*100</f>
        <v>55.173894375268354</v>
      </c>
      <c r="N36" s="51"/>
      <c r="O36" s="36"/>
    </row>
    <row r="37" spans="1:15" ht="21" x14ac:dyDescent="0.2">
      <c r="A37" s="174"/>
      <c r="B37" s="181" t="s">
        <v>227</v>
      </c>
      <c r="C37" s="188" t="s">
        <v>76</v>
      </c>
      <c r="D37" s="138">
        <v>37980000</v>
      </c>
      <c r="E37" s="157">
        <f>D37/D36*100</f>
        <v>40.76857020180335</v>
      </c>
      <c r="F37" s="157">
        <v>100</v>
      </c>
      <c r="G37" s="157">
        <f t="shared" si="5"/>
        <v>69.931542917324904</v>
      </c>
      <c r="H37" s="157">
        <f t="shared" si="4"/>
        <v>28.510090167453839</v>
      </c>
      <c r="I37" s="186">
        <f>23783273+2776727</f>
        <v>26560000</v>
      </c>
      <c r="J37" s="73">
        <f>I37/D37*100</f>
        <v>69.931542917324904</v>
      </c>
      <c r="K37" s="166">
        <f>D37-I37</f>
        <v>11420000</v>
      </c>
      <c r="L37" s="73">
        <f>K37/D37*100</f>
        <v>30.068457082675092</v>
      </c>
      <c r="N37" s="51"/>
      <c r="O37" s="36"/>
    </row>
    <row r="38" spans="1:15" ht="21" x14ac:dyDescent="0.2">
      <c r="A38" s="174"/>
      <c r="B38" s="178" t="s">
        <v>228</v>
      </c>
      <c r="C38" s="188" t="s">
        <v>78</v>
      </c>
      <c r="D38" s="138">
        <v>55180000</v>
      </c>
      <c r="E38" s="157">
        <f>D38/D36*100</f>
        <v>59.231429798196658</v>
      </c>
      <c r="F38" s="157">
        <v>100</v>
      </c>
      <c r="G38" s="157">
        <f t="shared" si="5"/>
        <v>27.546212395795578</v>
      </c>
      <c r="H38" s="157">
        <f t="shared" si="4"/>
        <v>16.316015457277803</v>
      </c>
      <c r="I38" s="186">
        <f>13610909+1589091</f>
        <v>15200000</v>
      </c>
      <c r="J38" s="73">
        <f>I38/D38*100</f>
        <v>27.546212395795578</v>
      </c>
      <c r="K38" s="166">
        <f>D38-I38</f>
        <v>39980000</v>
      </c>
      <c r="L38" s="73">
        <f>K38/D38*100</f>
        <v>72.453787604204422</v>
      </c>
      <c r="N38" s="51"/>
      <c r="O38" s="36"/>
    </row>
    <row r="39" spans="1:15" x14ac:dyDescent="0.2">
      <c r="A39" s="174"/>
      <c r="B39" s="46"/>
      <c r="C39" s="47"/>
      <c r="D39" s="138"/>
      <c r="E39" s="157"/>
      <c r="F39" s="157"/>
      <c r="G39" s="157"/>
      <c r="H39" s="157"/>
      <c r="I39" s="137"/>
      <c r="J39" s="73"/>
      <c r="K39" s="166"/>
      <c r="L39" s="73"/>
      <c r="N39" s="51"/>
      <c r="O39" s="36"/>
    </row>
    <row r="40" spans="1:15" ht="31.5" x14ac:dyDescent="0.2">
      <c r="A40" s="172" t="s">
        <v>79</v>
      </c>
      <c r="B40" s="180" t="s">
        <v>229</v>
      </c>
      <c r="C40" s="27" t="str">
        <f>[1]April!$C$184</f>
        <v>Program Peningkatan Kapasitas Sumber Daya Aparatur</v>
      </c>
      <c r="D40" s="144">
        <f>D41</f>
        <v>170400000</v>
      </c>
      <c r="E40" s="156">
        <f>D40/D14*100</f>
        <v>1.318965743201943</v>
      </c>
      <c r="F40" s="156">
        <f>AVERAGE(F41)</f>
        <v>100</v>
      </c>
      <c r="G40" s="156">
        <f>J40</f>
        <v>10.043127934272301</v>
      </c>
      <c r="H40" s="156">
        <f>G40*E40/100</f>
        <v>0.13246541699899661</v>
      </c>
      <c r="I40" s="136">
        <f>I41</f>
        <v>17113490</v>
      </c>
      <c r="J40" s="163">
        <f>I40/D40*100</f>
        <v>10.043127934272301</v>
      </c>
      <c r="K40" s="165">
        <f>D40-I40</f>
        <v>153286510</v>
      </c>
      <c r="L40" s="73">
        <f>K40/D40*100</f>
        <v>89.956872065727694</v>
      </c>
      <c r="N40" s="31">
        <v>181250000</v>
      </c>
      <c r="O40" s="36">
        <f t="shared" ref="O40:O48" si="10">I40-N40</f>
        <v>-164136510</v>
      </c>
    </row>
    <row r="41" spans="1:15" ht="21" x14ac:dyDescent="0.2">
      <c r="A41" s="174"/>
      <c r="B41" s="178" t="s">
        <v>230</v>
      </c>
      <c r="C41" s="47" t="str">
        <f>[1]April!$C$185</f>
        <v>Peningkatan Kemampuan Teknis Aparatur</v>
      </c>
      <c r="D41" s="138">
        <v>170400000</v>
      </c>
      <c r="E41" s="157">
        <f>D41/D40*100</f>
        <v>100</v>
      </c>
      <c r="F41" s="157">
        <v>100</v>
      </c>
      <c r="G41" s="157">
        <f t="shared" si="5"/>
        <v>10.043127934272301</v>
      </c>
      <c r="H41" s="157">
        <f t="shared" si="4"/>
        <v>10.043127934272301</v>
      </c>
      <c r="I41" s="186">
        <f>10000000+1000000+113490+6000000</f>
        <v>17113490</v>
      </c>
      <c r="J41" s="73">
        <f>I41/D41*100</f>
        <v>10.043127934272301</v>
      </c>
      <c r="K41" s="166">
        <f>D41-I41</f>
        <v>153286510</v>
      </c>
      <c r="L41" s="73">
        <f>K41/D41*100</f>
        <v>89.956872065727694</v>
      </c>
      <c r="N41" s="51">
        <v>181250000</v>
      </c>
      <c r="O41" s="36">
        <f t="shared" si="10"/>
        <v>-164136510</v>
      </c>
    </row>
    <row r="42" spans="1:15" x14ac:dyDescent="0.2">
      <c r="A42" s="174"/>
      <c r="B42" s="46"/>
      <c r="C42" s="47"/>
      <c r="D42" s="138"/>
      <c r="E42" s="157"/>
      <c r="F42" s="157"/>
      <c r="G42" s="157"/>
      <c r="H42" s="157"/>
      <c r="I42" s="137"/>
      <c r="J42" s="73"/>
      <c r="K42" s="166"/>
      <c r="L42" s="73"/>
      <c r="N42" s="51"/>
      <c r="O42" s="36">
        <f t="shared" si="10"/>
        <v>0</v>
      </c>
    </row>
    <row r="43" spans="1:15" ht="42" x14ac:dyDescent="0.2">
      <c r="A43" s="172" t="s">
        <v>82</v>
      </c>
      <c r="B43" s="180" t="s">
        <v>231</v>
      </c>
      <c r="C43" s="27" t="str">
        <f>[1]April!$C$201</f>
        <v>Program peningkatan pengembangan sistem pelaporan capaian kinerja dan keuangan</v>
      </c>
      <c r="D43" s="144">
        <f>SUM(D44:D50)</f>
        <v>1168800000</v>
      </c>
      <c r="E43" s="156">
        <f>D43/D14*100</f>
        <v>9.0469903794274131</v>
      </c>
      <c r="F43" s="156">
        <f>AVERAGE(F44:F48)</f>
        <v>100</v>
      </c>
      <c r="G43" s="156">
        <f>J43</f>
        <v>33.229691478439427</v>
      </c>
      <c r="H43" s="156">
        <f>G43*E43/100</f>
        <v>3.0062869911678258</v>
      </c>
      <c r="I43" s="136">
        <f>SUM(I44:I50)</f>
        <v>388388634</v>
      </c>
      <c r="J43" s="163">
        <f t="shared" ref="J43:J50" si="11">I43/D43*100</f>
        <v>33.229691478439427</v>
      </c>
      <c r="K43" s="165">
        <f t="shared" ref="K43:K48" si="12">D43-I43</f>
        <v>780411366</v>
      </c>
      <c r="L43" s="73">
        <f t="shared" ref="L43:L48" si="13">K43/D43*100</f>
        <v>66.77030852156058</v>
      </c>
      <c r="N43" s="31">
        <v>367965100</v>
      </c>
      <c r="O43" s="36">
        <f t="shared" si="10"/>
        <v>20423534</v>
      </c>
    </row>
    <row r="44" spans="1:15" ht="31.5" x14ac:dyDescent="0.2">
      <c r="A44" s="174"/>
      <c r="B44" s="178" t="s">
        <v>232</v>
      </c>
      <c r="C44" s="188" t="str">
        <f>[1]April!$C$202</f>
        <v>Penyusunan laporan capaian kinerja dan ikhtisar realisasi kinerja SKPD</v>
      </c>
      <c r="D44" s="138">
        <v>75120000</v>
      </c>
      <c r="E44" s="157">
        <f>D44/D43*100</f>
        <v>6.4271047227926079</v>
      </c>
      <c r="F44" s="157">
        <v>100</v>
      </c>
      <c r="G44" s="157">
        <f t="shared" si="5"/>
        <v>48.722044728434504</v>
      </c>
      <c r="H44" s="157">
        <f t="shared" si="4"/>
        <v>3.131416837782341</v>
      </c>
      <c r="I44" s="186">
        <f>5000000+3000000+5000000+6400000+7200000+5000000+5000000</f>
        <v>36600000</v>
      </c>
      <c r="J44" s="73">
        <f t="shared" si="11"/>
        <v>48.722044728434504</v>
      </c>
      <c r="K44" s="166">
        <f t="shared" si="12"/>
        <v>38520000</v>
      </c>
      <c r="L44" s="73">
        <f t="shared" si="13"/>
        <v>51.277955271565503</v>
      </c>
      <c r="N44" s="51">
        <v>68257500</v>
      </c>
      <c r="O44" s="36">
        <f t="shared" si="10"/>
        <v>-31657500</v>
      </c>
    </row>
    <row r="45" spans="1:15" ht="21" x14ac:dyDescent="0.2">
      <c r="A45" s="172"/>
      <c r="B45" s="178" t="s">
        <v>233</v>
      </c>
      <c r="C45" s="188" t="str">
        <f>[1]April!$C$213</f>
        <v>Penyusunan pelaporan keuangan semesteran</v>
      </c>
      <c r="D45" s="138">
        <v>40860000</v>
      </c>
      <c r="E45" s="157">
        <f>D45/D43*100</f>
        <v>3.4958932238193019</v>
      </c>
      <c r="F45" s="157">
        <v>100</v>
      </c>
      <c r="G45" s="157">
        <f t="shared" si="5"/>
        <v>18.007831620166424</v>
      </c>
      <c r="H45" s="157">
        <f t="shared" si="4"/>
        <v>0.62953456536618768</v>
      </c>
      <c r="I45" s="137">
        <v>7358000</v>
      </c>
      <c r="J45" s="73">
        <f t="shared" si="11"/>
        <v>18.007831620166424</v>
      </c>
      <c r="K45" s="166">
        <f t="shared" si="12"/>
        <v>33502000</v>
      </c>
      <c r="L45" s="73">
        <f t="shared" si="13"/>
        <v>81.992168379833572</v>
      </c>
      <c r="N45" s="51">
        <v>9057850</v>
      </c>
      <c r="O45" s="36">
        <f t="shared" si="10"/>
        <v>-1699850</v>
      </c>
    </row>
    <row r="46" spans="1:15" ht="21" x14ac:dyDescent="0.2">
      <c r="A46" s="174"/>
      <c r="B46" s="178" t="s">
        <v>234</v>
      </c>
      <c r="C46" s="188" t="str">
        <f>[1]April!$C$231</f>
        <v>penyusunan pelaporan keuangan akhir tahun</v>
      </c>
      <c r="D46" s="138">
        <v>17780000</v>
      </c>
      <c r="E46" s="157">
        <f>D46/D43*100</f>
        <v>1.5212183436002737</v>
      </c>
      <c r="F46" s="157">
        <v>100</v>
      </c>
      <c r="G46" s="157">
        <f t="shared" si="5"/>
        <v>73.221597300337464</v>
      </c>
      <c r="H46" s="157">
        <f t="shared" si="4"/>
        <v>1.1138603696098563</v>
      </c>
      <c r="I46" s="137">
        <f>11118800+1900000</f>
        <v>13018800</v>
      </c>
      <c r="J46" s="73">
        <f t="shared" si="11"/>
        <v>73.221597300337464</v>
      </c>
      <c r="K46" s="166">
        <f t="shared" si="12"/>
        <v>4761200</v>
      </c>
      <c r="L46" s="73">
        <f t="shared" si="13"/>
        <v>26.778402699662539</v>
      </c>
      <c r="N46" s="51">
        <v>10986750</v>
      </c>
      <c r="O46" s="36">
        <f t="shared" si="10"/>
        <v>2032050</v>
      </c>
    </row>
    <row r="47" spans="1:15" ht="21" x14ac:dyDescent="0.2">
      <c r="A47" s="174"/>
      <c r="B47" s="178" t="s">
        <v>235</v>
      </c>
      <c r="C47" s="188" t="str">
        <f>[1]April!$C$249</f>
        <v>Penyusunan Rencana Kerja dan Anggaran SKPD</v>
      </c>
      <c r="D47" s="138">
        <v>48590000</v>
      </c>
      <c r="E47" s="157">
        <f>D47/D43*100</f>
        <v>4.1572553045859006</v>
      </c>
      <c r="F47" s="157">
        <v>100</v>
      </c>
      <c r="G47" s="157">
        <f t="shared" si="5"/>
        <v>45.79131508540852</v>
      </c>
      <c r="H47" s="157">
        <f t="shared" si="4"/>
        <v>1.9036618754277894</v>
      </c>
      <c r="I47" s="137">
        <f>10000000+12250000</f>
        <v>22250000</v>
      </c>
      <c r="J47" s="73">
        <f t="shared" si="11"/>
        <v>45.79131508540852</v>
      </c>
      <c r="K47" s="166">
        <f t="shared" si="12"/>
        <v>26340000</v>
      </c>
      <c r="L47" s="73">
        <f t="shared" si="13"/>
        <v>54.208684914591473</v>
      </c>
      <c r="N47" s="51">
        <v>178186000</v>
      </c>
      <c r="O47" s="36">
        <f t="shared" si="10"/>
        <v>-155936000</v>
      </c>
    </row>
    <row r="48" spans="1:15" ht="31.5" x14ac:dyDescent="0.2">
      <c r="A48" s="174"/>
      <c r="B48" s="178" t="s">
        <v>236</v>
      </c>
      <c r="C48" s="188" t="str">
        <f>[1]April!$C$266</f>
        <v>Penyediaan Data, Dokumentasi, Informatika dan Komunikasi SKPD</v>
      </c>
      <c r="D48" s="138">
        <v>805500000</v>
      </c>
      <c r="E48" s="157">
        <f>D48/D43*100</f>
        <v>68.916837782340863</v>
      </c>
      <c r="F48" s="157">
        <v>100</v>
      </c>
      <c r="G48" s="157">
        <f t="shared" si="5"/>
        <v>28.953734823091249</v>
      </c>
      <c r="H48" s="157">
        <f t="shared" si="4"/>
        <v>19.953998459958935</v>
      </c>
      <c r="I48" s="137">
        <f>28600000+184020000+20602334</f>
        <v>233222334</v>
      </c>
      <c r="J48" s="73">
        <f t="shared" si="11"/>
        <v>28.953734823091249</v>
      </c>
      <c r="K48" s="166">
        <f t="shared" si="12"/>
        <v>572277666</v>
      </c>
      <c r="L48" s="73">
        <f t="shared" si="13"/>
        <v>71.046265176908747</v>
      </c>
      <c r="N48" s="51">
        <v>68048000</v>
      </c>
      <c r="O48" s="36">
        <f t="shared" si="10"/>
        <v>165174334</v>
      </c>
    </row>
    <row r="49" spans="1:15" ht="21" x14ac:dyDescent="0.2">
      <c r="A49" s="174"/>
      <c r="B49" s="178" t="s">
        <v>237</v>
      </c>
      <c r="C49" s="188" t="s">
        <v>92</v>
      </c>
      <c r="D49" s="138">
        <v>83650000</v>
      </c>
      <c r="E49" s="157">
        <f>D49/D43*100</f>
        <v>7.1569130732375088</v>
      </c>
      <c r="F49" s="157">
        <v>100</v>
      </c>
      <c r="G49" s="157">
        <f t="shared" si="5"/>
        <v>81.637178720860732</v>
      </c>
      <c r="H49" s="157">
        <f t="shared" si="4"/>
        <v>5.8427019164955514</v>
      </c>
      <c r="I49" s="137">
        <f>63858000+4431500</f>
        <v>68289500</v>
      </c>
      <c r="J49" s="73">
        <f t="shared" si="11"/>
        <v>81.637178720860732</v>
      </c>
      <c r="K49" s="166">
        <f>D49-I49</f>
        <v>15360500</v>
      </c>
      <c r="L49" s="73">
        <f>K49/D49*100</f>
        <v>18.362821279139272</v>
      </c>
      <c r="N49" s="51"/>
      <c r="O49" s="36"/>
    </row>
    <row r="50" spans="1:15" ht="21" x14ac:dyDescent="0.2">
      <c r="A50" s="174"/>
      <c r="B50" s="178" t="s">
        <v>238</v>
      </c>
      <c r="C50" s="188" t="s">
        <v>197</v>
      </c>
      <c r="D50" s="138">
        <v>97300000</v>
      </c>
      <c r="E50" s="157">
        <f>D50/D43*100</f>
        <v>8.3247775496235459</v>
      </c>
      <c r="F50" s="157">
        <v>100</v>
      </c>
      <c r="G50" s="157">
        <f t="shared" si="5"/>
        <v>7.8622816032887979</v>
      </c>
      <c r="H50" s="157">
        <f t="shared" si="4"/>
        <v>0.65451745379876802</v>
      </c>
      <c r="I50" s="137">
        <f>5000000+1000000+650000+1000000</f>
        <v>7650000</v>
      </c>
      <c r="J50" s="73">
        <f t="shared" si="11"/>
        <v>7.8622816032887979</v>
      </c>
      <c r="K50" s="166">
        <f>D50-I50</f>
        <v>89650000</v>
      </c>
      <c r="L50" s="73">
        <f>K50/D50*100</f>
        <v>92.137718396711193</v>
      </c>
      <c r="N50" s="51"/>
      <c r="O50" s="36"/>
    </row>
    <row r="51" spans="1:15" x14ac:dyDescent="0.2">
      <c r="A51" s="172"/>
      <c r="B51" s="26"/>
      <c r="C51" s="67"/>
      <c r="D51" s="147"/>
      <c r="E51" s="157"/>
      <c r="F51" s="157"/>
      <c r="G51" s="157"/>
      <c r="H51" s="157"/>
      <c r="I51" s="137"/>
      <c r="J51" s="73"/>
      <c r="K51" s="166"/>
      <c r="L51" s="73"/>
      <c r="N51" s="51"/>
      <c r="O51" s="36">
        <f>I51-N51</f>
        <v>0</v>
      </c>
    </row>
    <row r="52" spans="1:15" ht="21" x14ac:dyDescent="0.2">
      <c r="A52" s="172" t="s">
        <v>93</v>
      </c>
      <c r="B52" s="180" t="s">
        <v>239</v>
      </c>
      <c r="C52" s="27" t="str">
        <f>[1]April!$C$298</f>
        <v>Program pengembangan data/informasi</v>
      </c>
      <c r="D52" s="144">
        <f>SUM(D53:D56)</f>
        <v>910140000</v>
      </c>
      <c r="E52" s="156">
        <f>D52/D14*100</f>
        <v>7.0448561121937576</v>
      </c>
      <c r="F52" s="156">
        <f>AVERAGE(F55:F57)</f>
        <v>100</v>
      </c>
      <c r="G52" s="156">
        <f>J52</f>
        <v>23.546157733974994</v>
      </c>
      <c r="H52" s="156">
        <f>G52*E52/100</f>
        <v>1.6587929323087207</v>
      </c>
      <c r="I52" s="136">
        <f>SUM(I53:I56)</f>
        <v>214303000</v>
      </c>
      <c r="J52" s="163">
        <f>I52/D52*100</f>
        <v>23.546157733974994</v>
      </c>
      <c r="K52" s="165">
        <f>D52-I52</f>
        <v>695837000</v>
      </c>
      <c r="L52" s="73">
        <f>K52/D52*100</f>
        <v>76.453842266025006</v>
      </c>
      <c r="N52" s="31">
        <v>1027715002</v>
      </c>
      <c r="O52" s="36">
        <f>I52-N52</f>
        <v>-813412002</v>
      </c>
    </row>
    <row r="53" spans="1:15" ht="42" x14ac:dyDescent="0.2">
      <c r="A53" s="172"/>
      <c r="B53" s="181" t="s">
        <v>242</v>
      </c>
      <c r="C53" s="188" t="s">
        <v>96</v>
      </c>
      <c r="D53" s="145">
        <v>172140000</v>
      </c>
      <c r="E53" s="157">
        <f>D53/D52*100</f>
        <v>18.913573735908763</v>
      </c>
      <c r="F53" s="157">
        <v>100</v>
      </c>
      <c r="G53" s="157">
        <f t="shared" si="5"/>
        <v>31.799697920297433</v>
      </c>
      <c r="H53" s="157">
        <f t="shared" si="4"/>
        <v>6.0144593139517006</v>
      </c>
      <c r="I53" s="137">
        <f>47630000+7110000</f>
        <v>54740000</v>
      </c>
      <c r="J53" s="73">
        <f>I53/D53*100</f>
        <v>31.799697920297433</v>
      </c>
      <c r="K53" s="166">
        <f>D53-I53</f>
        <v>117400000</v>
      </c>
      <c r="L53" s="73">
        <f>K53/D53*100</f>
        <v>68.200302079702567</v>
      </c>
      <c r="N53" s="31"/>
      <c r="O53" s="36"/>
    </row>
    <row r="54" spans="1:15" ht="42" x14ac:dyDescent="0.2">
      <c r="A54" s="172"/>
      <c r="B54" s="181" t="s">
        <v>243</v>
      </c>
      <c r="C54" s="188" t="s">
        <v>98</v>
      </c>
      <c r="D54" s="145">
        <v>296100000</v>
      </c>
      <c r="E54" s="157">
        <f>D54/D52*100</f>
        <v>32.533456391324414</v>
      </c>
      <c r="F54" s="157">
        <v>100</v>
      </c>
      <c r="G54" s="157">
        <f t="shared" si="5"/>
        <v>39.203985140155353</v>
      </c>
      <c r="H54" s="157">
        <f t="shared" si="4"/>
        <v>12.754411409233747</v>
      </c>
      <c r="I54" s="186">
        <f>95900000+20183000</f>
        <v>116083000</v>
      </c>
      <c r="J54" s="73">
        <f>I54/D54*100</f>
        <v>39.203985140155353</v>
      </c>
      <c r="K54" s="166">
        <f>D54-I54</f>
        <v>180017000</v>
      </c>
      <c r="L54" s="73">
        <f>K54/D54*100</f>
        <v>60.796014859844647</v>
      </c>
      <c r="N54" s="31"/>
      <c r="O54" s="36"/>
    </row>
    <row r="55" spans="1:15" ht="31.5" x14ac:dyDescent="0.2">
      <c r="A55" s="174"/>
      <c r="B55" s="181" t="s">
        <v>244</v>
      </c>
      <c r="C55" s="188" t="str">
        <f>[1]April!$C$320</f>
        <v>Penyusunan dan anlisis data/informasi perencanaan pembangunan ekonomi</v>
      </c>
      <c r="D55" s="138">
        <v>245260000</v>
      </c>
      <c r="E55" s="157">
        <f>D55/D52*100</f>
        <v>26.947502582020348</v>
      </c>
      <c r="F55" s="157">
        <v>100</v>
      </c>
      <c r="G55" s="157">
        <f t="shared" si="5"/>
        <v>2.2343635325776727</v>
      </c>
      <c r="H55" s="157">
        <f t="shared" si="4"/>
        <v>0.60210517063308944</v>
      </c>
      <c r="I55" s="186">
        <f>3000000+2480000</f>
        <v>5480000</v>
      </c>
      <c r="J55" s="73">
        <f>I55/D55*100</f>
        <v>2.2343635325776727</v>
      </c>
      <c r="K55" s="166">
        <f>D55-I55</f>
        <v>239780000</v>
      </c>
      <c r="L55" s="73">
        <f>K55/D55*100</f>
        <v>97.765636467422325</v>
      </c>
      <c r="N55" s="51">
        <v>252795000</v>
      </c>
      <c r="O55" s="36">
        <f>I55-N55</f>
        <v>-247315000</v>
      </c>
    </row>
    <row r="56" spans="1:15" x14ac:dyDescent="0.2">
      <c r="A56" s="174"/>
      <c r="B56" s="181" t="s">
        <v>245</v>
      </c>
      <c r="C56" s="188" t="str">
        <f>[1]April!$C$337</f>
        <v>Penyusunan profile daerah</v>
      </c>
      <c r="D56" s="138">
        <v>196640000</v>
      </c>
      <c r="E56" s="157">
        <f>D56/D52*100</f>
        <v>21.605467290746478</v>
      </c>
      <c r="F56" s="157">
        <v>100</v>
      </c>
      <c r="G56" s="157">
        <f t="shared" si="5"/>
        <v>19.3246541903987</v>
      </c>
      <c r="H56" s="157">
        <f t="shared" si="4"/>
        <v>4.1751818401564602</v>
      </c>
      <c r="I56" s="186">
        <f>3000000+35000000</f>
        <v>38000000</v>
      </c>
      <c r="J56" s="73">
        <f>I56/D56*100</f>
        <v>19.3246541903987</v>
      </c>
      <c r="K56" s="166">
        <f>D56-I56</f>
        <v>158640000</v>
      </c>
      <c r="L56" s="73">
        <f>K56/D56*100</f>
        <v>80.675345809601311</v>
      </c>
      <c r="N56" s="51">
        <v>362347000</v>
      </c>
      <c r="O56" s="36">
        <f>I56-N56</f>
        <v>-324347000</v>
      </c>
    </row>
    <row r="57" spans="1:15" x14ac:dyDescent="0.2">
      <c r="A57" s="174"/>
      <c r="B57" s="46"/>
      <c r="C57" s="47"/>
      <c r="D57" s="148"/>
      <c r="E57" s="157"/>
      <c r="F57" s="157"/>
      <c r="G57" s="157"/>
      <c r="H57" s="157"/>
      <c r="I57" s="137"/>
      <c r="J57" s="73"/>
      <c r="K57" s="166"/>
      <c r="L57" s="73"/>
      <c r="N57" s="51"/>
      <c r="O57" s="36">
        <f>I57-N57</f>
        <v>0</v>
      </c>
    </row>
    <row r="58" spans="1:15" ht="21" x14ac:dyDescent="0.2">
      <c r="A58" s="172" t="s">
        <v>101</v>
      </c>
      <c r="B58" s="180" t="s">
        <v>240</v>
      </c>
      <c r="C58" s="27" t="str">
        <f>[2]Sheet1!$I$55</f>
        <v>Program Kerjasama Pembangunan</v>
      </c>
      <c r="D58" s="144">
        <f>D59</f>
        <v>283730000</v>
      </c>
      <c r="E58" s="156">
        <f>D58/D14*100</f>
        <v>2.1961863281613101</v>
      </c>
      <c r="F58" s="156">
        <f>AVERAGE(F59)</f>
        <v>100</v>
      </c>
      <c r="G58" s="156">
        <f t="shared" si="5"/>
        <v>17.267296373312657</v>
      </c>
      <c r="H58" s="156">
        <f t="shared" si="4"/>
        <v>0.37922200219378632</v>
      </c>
      <c r="I58" s="136">
        <f>I59</f>
        <v>48992500</v>
      </c>
      <c r="J58" s="163">
        <f>I58/D58*100</f>
        <v>17.267296373312657</v>
      </c>
      <c r="K58" s="165">
        <f>D58-I58</f>
        <v>234737500</v>
      </c>
      <c r="L58" s="73">
        <f>K58/D58*100</f>
        <v>82.732703626687339</v>
      </c>
      <c r="N58" s="31">
        <v>633632330</v>
      </c>
      <c r="O58" s="36">
        <f>I58-N58</f>
        <v>-584639830</v>
      </c>
    </row>
    <row r="59" spans="1:15" ht="21" x14ac:dyDescent="0.2">
      <c r="A59" s="174"/>
      <c r="B59" s="181" t="s">
        <v>246</v>
      </c>
      <c r="C59" s="47" t="str">
        <f>[2]Sheet1!$I$56</f>
        <v>Koordinasi dalam pemecahan masalah-masalah daerah</v>
      </c>
      <c r="D59" s="148">
        <v>283730000</v>
      </c>
      <c r="E59" s="157">
        <f>D59/D58*100</f>
        <v>100</v>
      </c>
      <c r="F59" s="157">
        <v>100</v>
      </c>
      <c r="G59" s="157">
        <f t="shared" si="5"/>
        <v>17.267296373312657</v>
      </c>
      <c r="H59" s="157">
        <f t="shared" si="4"/>
        <v>17.267296373312657</v>
      </c>
      <c r="I59" s="186">
        <f>9400000+15936500+9500000+9500000+4656000</f>
        <v>48992500</v>
      </c>
      <c r="J59" s="73">
        <f>I59/D59*100</f>
        <v>17.267296373312657</v>
      </c>
      <c r="K59" s="166">
        <f>D59-I59</f>
        <v>234737500</v>
      </c>
      <c r="L59" s="73">
        <f>K59/D59*100</f>
        <v>82.732703626687339</v>
      </c>
      <c r="N59" s="51">
        <v>633632330</v>
      </c>
      <c r="O59" s="36">
        <f>I59-N59</f>
        <v>-584639830</v>
      </c>
    </row>
    <row r="60" spans="1:15" x14ac:dyDescent="0.2">
      <c r="A60" s="172"/>
      <c r="B60" s="26"/>
      <c r="C60" s="67"/>
      <c r="D60" s="150"/>
      <c r="E60" s="156"/>
      <c r="F60" s="156"/>
      <c r="G60" s="157"/>
      <c r="H60" s="157"/>
      <c r="I60" s="137"/>
      <c r="J60" s="73"/>
      <c r="K60" s="166"/>
      <c r="L60" s="73"/>
      <c r="N60" s="51"/>
      <c r="O60" s="36"/>
    </row>
    <row r="61" spans="1:15" ht="21" x14ac:dyDescent="0.2">
      <c r="A61" s="172" t="s">
        <v>104</v>
      </c>
      <c r="B61" s="180" t="s">
        <v>241</v>
      </c>
      <c r="C61" s="67" t="s">
        <v>106</v>
      </c>
      <c r="D61" s="139">
        <f>D62</f>
        <v>132870000</v>
      </c>
      <c r="E61" s="156">
        <f>D61/D14*100</f>
        <v>1.0284681825072897</v>
      </c>
      <c r="F61" s="156">
        <f>AVERAGE(F62)</f>
        <v>100</v>
      </c>
      <c r="G61" s="156">
        <f>J61</f>
        <v>12.053134642884022</v>
      </c>
      <c r="H61" s="156">
        <f>G61*E61/100</f>
        <v>0.12396265479682579</v>
      </c>
      <c r="I61" s="139">
        <f>I62</f>
        <v>16015000</v>
      </c>
      <c r="J61" s="163">
        <f>I61/D61*100</f>
        <v>12.053134642884022</v>
      </c>
      <c r="K61" s="165">
        <f>D61-I61</f>
        <v>116855000</v>
      </c>
      <c r="L61" s="73">
        <f>K61/D61*100</f>
        <v>87.946865357115982</v>
      </c>
      <c r="N61" s="51"/>
      <c r="O61" s="36"/>
    </row>
    <row r="62" spans="1:15" ht="31.5" x14ac:dyDescent="0.2">
      <c r="A62" s="172"/>
      <c r="B62" s="181" t="s">
        <v>247</v>
      </c>
      <c r="C62" s="52" t="s">
        <v>300</v>
      </c>
      <c r="D62" s="137">
        <v>132870000</v>
      </c>
      <c r="E62" s="157">
        <f>D62/D61*100</f>
        <v>100</v>
      </c>
      <c r="F62" s="157">
        <v>100</v>
      </c>
      <c r="G62" s="157">
        <f>J62</f>
        <v>12.053134642884022</v>
      </c>
      <c r="H62" s="157">
        <f>G62*E62/100</f>
        <v>12.053134642884022</v>
      </c>
      <c r="I62" s="137">
        <v>16015000</v>
      </c>
      <c r="J62" s="73">
        <f>I62/D62*100</f>
        <v>12.053134642884022</v>
      </c>
      <c r="K62" s="166">
        <f>D62-I62</f>
        <v>116855000</v>
      </c>
      <c r="L62" s="73">
        <f>K62/D62*100</f>
        <v>87.946865357115982</v>
      </c>
      <c r="N62" s="51"/>
      <c r="O62" s="36"/>
    </row>
    <row r="63" spans="1:15" x14ac:dyDescent="0.2">
      <c r="A63" s="172"/>
      <c r="B63" s="46"/>
      <c r="C63" s="52"/>
      <c r="D63" s="137"/>
      <c r="E63" s="157"/>
      <c r="F63" s="157"/>
      <c r="G63" s="157"/>
      <c r="H63" s="157"/>
      <c r="I63" s="137"/>
      <c r="J63" s="73"/>
      <c r="K63" s="166"/>
      <c r="L63" s="73"/>
      <c r="N63" s="51"/>
      <c r="O63" s="36"/>
    </row>
    <row r="64" spans="1:15" ht="42" x14ac:dyDescent="0.2">
      <c r="A64" s="172" t="s">
        <v>115</v>
      </c>
      <c r="B64" s="180" t="s">
        <v>248</v>
      </c>
      <c r="C64" s="27" t="s">
        <v>112</v>
      </c>
      <c r="D64" s="144">
        <f>D65</f>
        <v>174480000</v>
      </c>
      <c r="E64" s="156">
        <f>D64/D14*100</f>
        <v>1.3505466131095951</v>
      </c>
      <c r="F64" s="156">
        <f>AVERAGE(F65)</f>
        <v>100</v>
      </c>
      <c r="G64" s="156">
        <f>J64</f>
        <v>3.0375974323704722</v>
      </c>
      <c r="H64" s="156">
        <f>G64*E64/100</f>
        <v>4.1024169242783431E-2</v>
      </c>
      <c r="I64" s="136">
        <f>I65</f>
        <v>5300000</v>
      </c>
      <c r="J64" s="163">
        <f>I64/D64*100</f>
        <v>3.0375974323704722</v>
      </c>
      <c r="K64" s="165">
        <f>D64-I64</f>
        <v>169180000</v>
      </c>
      <c r="L64" s="73">
        <f>K64/D64*100</f>
        <v>96.962402567629525</v>
      </c>
      <c r="N64" s="51"/>
      <c r="O64" s="36"/>
    </row>
    <row r="65" spans="1:15" ht="31.5" x14ac:dyDescent="0.2">
      <c r="A65" s="172"/>
      <c r="B65" s="181" t="s">
        <v>249</v>
      </c>
      <c r="C65" s="47" t="s">
        <v>291</v>
      </c>
      <c r="D65" s="148">
        <v>174480000</v>
      </c>
      <c r="E65" s="157">
        <f>D65/D64*100</f>
        <v>100</v>
      </c>
      <c r="F65" s="157">
        <v>100</v>
      </c>
      <c r="G65" s="157">
        <f>J65</f>
        <v>3.0375974323704722</v>
      </c>
      <c r="H65" s="157">
        <f>G65*E65/100</f>
        <v>3.0375974323704726</v>
      </c>
      <c r="I65" s="137">
        <v>5300000</v>
      </c>
      <c r="J65" s="73">
        <f>I65/D65*100</f>
        <v>3.0375974323704722</v>
      </c>
      <c r="K65" s="166">
        <f>D65-I65</f>
        <v>169180000</v>
      </c>
      <c r="L65" s="73">
        <f>K65/D65*100</f>
        <v>96.962402567629525</v>
      </c>
      <c r="N65" s="51"/>
      <c r="O65" s="36"/>
    </row>
    <row r="66" spans="1:15" x14ac:dyDescent="0.2">
      <c r="A66" s="172"/>
      <c r="B66" s="26"/>
      <c r="C66" s="67"/>
      <c r="D66" s="150"/>
      <c r="E66" s="156"/>
      <c r="F66" s="156"/>
      <c r="G66" s="157"/>
      <c r="H66" s="157"/>
      <c r="I66" s="137"/>
      <c r="J66" s="73"/>
      <c r="K66" s="166"/>
      <c r="L66" s="73"/>
      <c r="N66" s="51"/>
      <c r="O66" s="36"/>
    </row>
    <row r="67" spans="1:15" ht="42" x14ac:dyDescent="0.2">
      <c r="A67" s="172" t="s">
        <v>121</v>
      </c>
      <c r="B67" s="180" t="s">
        <v>250</v>
      </c>
      <c r="C67" s="27" t="s">
        <v>117</v>
      </c>
      <c r="D67" s="144">
        <f>SUM(D68:D70)</f>
        <v>736280000</v>
      </c>
      <c r="E67" s="156">
        <f>D67/D14*100</f>
        <v>5.6991085528446392</v>
      </c>
      <c r="F67" s="156">
        <v>100</v>
      </c>
      <c r="G67" s="156">
        <f>J67</f>
        <v>4.2775167056011298</v>
      </c>
      <c r="H67" s="156">
        <f>G67*E67/100</f>
        <v>0.24378032041827224</v>
      </c>
      <c r="I67" s="136">
        <f>SUM(I68:I70)</f>
        <v>31494500</v>
      </c>
      <c r="J67" s="163">
        <f>I67/D67*100</f>
        <v>4.2775167056011298</v>
      </c>
      <c r="K67" s="165">
        <f>D67-I67</f>
        <v>704785500</v>
      </c>
      <c r="L67" s="73">
        <f>K67/D67*100</f>
        <v>95.72248329439887</v>
      </c>
      <c r="N67" s="31">
        <v>633632330</v>
      </c>
      <c r="O67" s="36">
        <f t="shared" ref="O67:O78" si="14">I67-N67</f>
        <v>-602137830</v>
      </c>
    </row>
    <row r="68" spans="1:15" ht="31.5" x14ac:dyDescent="0.2">
      <c r="A68" s="172"/>
      <c r="B68" s="181" t="s">
        <v>251</v>
      </c>
      <c r="C68" s="189" t="str">
        <f>[2]Sheet1!$I$59</f>
        <v>Koordinasi penyelesaian permasalahan transportasi perkotaan</v>
      </c>
      <c r="D68" s="151">
        <v>296840000</v>
      </c>
      <c r="E68" s="157">
        <f>D68/D67*100</f>
        <v>40.3161840604118</v>
      </c>
      <c r="F68" s="157">
        <v>100</v>
      </c>
      <c r="G68" s="157">
        <f>J68</f>
        <v>0</v>
      </c>
      <c r="H68" s="157">
        <f>G68*E68/100</f>
        <v>0</v>
      </c>
      <c r="I68" s="137">
        <v>0</v>
      </c>
      <c r="J68" s="73">
        <f>I68/D68*100</f>
        <v>0</v>
      </c>
      <c r="K68" s="166">
        <f>D68-I68</f>
        <v>296840000</v>
      </c>
      <c r="L68" s="73">
        <f>K68/D68*100</f>
        <v>100</v>
      </c>
      <c r="N68" s="51">
        <v>66755000</v>
      </c>
      <c r="O68" s="36">
        <f t="shared" si="14"/>
        <v>-66755000</v>
      </c>
    </row>
    <row r="69" spans="1:15" ht="21" x14ac:dyDescent="0.2">
      <c r="A69" s="174"/>
      <c r="B69" s="181" t="s">
        <v>252</v>
      </c>
      <c r="C69" s="188" t="str">
        <f>[2]Sheet1!$I$61</f>
        <v>Koordinasi perencanaan penanganan perumahan</v>
      </c>
      <c r="D69" s="151">
        <v>221630000</v>
      </c>
      <c r="E69" s="157">
        <f>D69/D67*100</f>
        <v>30.101320149942957</v>
      </c>
      <c r="F69" s="157">
        <v>100</v>
      </c>
      <c r="G69" s="157">
        <f t="shared" si="5"/>
        <v>8.0153860036998612</v>
      </c>
      <c r="H69" s="157">
        <f t="shared" si="4"/>
        <v>2.4127370022274137</v>
      </c>
      <c r="I69" s="137">
        <f>11879500+5225000+660000</f>
        <v>17764500</v>
      </c>
      <c r="J69" s="73">
        <f>I69/D69*100</f>
        <v>8.0153860036998612</v>
      </c>
      <c r="K69" s="166">
        <f>D69-I69</f>
        <v>203865500</v>
      </c>
      <c r="L69" s="73">
        <f>K69/D69*100</f>
        <v>91.984613996300141</v>
      </c>
      <c r="N69" s="51">
        <v>153047000</v>
      </c>
      <c r="O69" s="36">
        <f t="shared" si="14"/>
        <v>-135282500</v>
      </c>
    </row>
    <row r="70" spans="1:15" ht="31.5" x14ac:dyDescent="0.2">
      <c r="A70" s="172"/>
      <c r="B70" s="181" t="s">
        <v>253</v>
      </c>
      <c r="C70" s="189" t="str">
        <f>[2]Sheet1!$I$62</f>
        <v>Koordinasi perencanaan air minum, drainase dan sanitasi perkotaan</v>
      </c>
      <c r="D70" s="151">
        <v>217810000</v>
      </c>
      <c r="E70" s="157">
        <f>D70/D67*100</f>
        <v>29.58249578964524</v>
      </c>
      <c r="F70" s="157">
        <v>100</v>
      </c>
      <c r="G70" s="157">
        <f t="shared" si="5"/>
        <v>6.3036591524723375</v>
      </c>
      <c r="H70" s="157">
        <f t="shared" si="4"/>
        <v>1.8647797033737161</v>
      </c>
      <c r="I70" s="186">
        <f>3380000+8480000+1870000</f>
        <v>13730000</v>
      </c>
      <c r="J70" s="73">
        <f>I70/D70*100</f>
        <v>6.3036591524723375</v>
      </c>
      <c r="K70" s="166">
        <f>D70-I70</f>
        <v>204080000</v>
      </c>
      <c r="L70" s="73">
        <f>K70/D70*100</f>
        <v>93.696340847527665</v>
      </c>
      <c r="N70" s="51">
        <v>121131500</v>
      </c>
      <c r="O70" s="36">
        <f t="shared" si="14"/>
        <v>-107401500</v>
      </c>
    </row>
    <row r="71" spans="1:15" x14ac:dyDescent="0.2">
      <c r="A71" s="172"/>
      <c r="B71" s="46"/>
      <c r="C71" s="47"/>
      <c r="D71" s="151"/>
      <c r="E71" s="157"/>
      <c r="F71" s="157"/>
      <c r="G71" s="157"/>
      <c r="H71" s="157"/>
      <c r="I71" s="137"/>
      <c r="J71" s="73"/>
      <c r="K71" s="166"/>
      <c r="L71" s="73"/>
      <c r="N71" s="51"/>
      <c r="O71" s="36">
        <f t="shared" si="14"/>
        <v>0</v>
      </c>
    </row>
    <row r="72" spans="1:15" ht="42" x14ac:dyDescent="0.2">
      <c r="A72" s="172" t="s">
        <v>125</v>
      </c>
      <c r="B72" s="180" t="s">
        <v>254</v>
      </c>
      <c r="C72" s="27" t="str">
        <f>[2]Sheet1!$I$64</f>
        <v>Program peningkatan kapasitas kelembagaan perencanaan pembangunan daerah</v>
      </c>
      <c r="D72" s="144">
        <f>SUM(D73:D75)</f>
        <v>528220000</v>
      </c>
      <c r="E72" s="156">
        <f>D72/D14*100</f>
        <v>4.088638995740201</v>
      </c>
      <c r="F72" s="156">
        <f>AVERAGE(F73:F75)</f>
        <v>100</v>
      </c>
      <c r="G72" s="156">
        <f>J72</f>
        <v>65.891936503729511</v>
      </c>
      <c r="H72" s="156">
        <f>G72*E72/100</f>
        <v>2.6940834109398573</v>
      </c>
      <c r="I72" s="136">
        <f>SUM(I73:I75)</f>
        <v>348054387</v>
      </c>
      <c r="J72" s="163">
        <f>I72/D72*100</f>
        <v>65.891936503729511</v>
      </c>
      <c r="K72" s="165">
        <f>D72-I72</f>
        <v>180165613</v>
      </c>
      <c r="L72" s="73">
        <f>K72/D72*100</f>
        <v>34.108063496270489</v>
      </c>
      <c r="N72" s="31">
        <v>331627654</v>
      </c>
      <c r="O72" s="36">
        <f t="shared" si="14"/>
        <v>16426733</v>
      </c>
    </row>
    <row r="73" spans="1:15" ht="21" x14ac:dyDescent="0.2">
      <c r="A73" s="172"/>
      <c r="B73" s="181" t="s">
        <v>255</v>
      </c>
      <c r="C73" s="189" t="str">
        <f>[2]Sheet1!$I$65</f>
        <v>Peningkatan kemampuan teknis aparat perencana</v>
      </c>
      <c r="D73" s="151">
        <v>131360000</v>
      </c>
      <c r="E73" s="157">
        <f>D73/D72*100</f>
        <v>24.868426034606792</v>
      </c>
      <c r="F73" s="157">
        <v>100</v>
      </c>
      <c r="G73" s="157">
        <f>J73</f>
        <v>53.89537758830695</v>
      </c>
      <c r="H73" s="157">
        <f>G73*E73/100</f>
        <v>13.40293211162016</v>
      </c>
      <c r="I73" s="137">
        <f>59683478+11113490</f>
        <v>70796968</v>
      </c>
      <c r="J73" s="73">
        <f>I73/D73*100</f>
        <v>53.89537758830695</v>
      </c>
      <c r="K73" s="166">
        <f>D73-I73</f>
        <v>60563032</v>
      </c>
      <c r="L73" s="73">
        <f>K73/D73*100</f>
        <v>46.104622411693057</v>
      </c>
      <c r="N73" s="51">
        <v>138878874</v>
      </c>
      <c r="O73" s="36">
        <f t="shared" si="14"/>
        <v>-68081906</v>
      </c>
    </row>
    <row r="74" spans="1:15" ht="31.5" x14ac:dyDescent="0.2">
      <c r="A74" s="172"/>
      <c r="B74" s="181" t="s">
        <v>256</v>
      </c>
      <c r="C74" s="189" t="s">
        <v>200</v>
      </c>
      <c r="D74" s="151">
        <v>239520000</v>
      </c>
      <c r="E74" s="157">
        <f>D74/D72*100</f>
        <v>45.344742720836017</v>
      </c>
      <c r="F74" s="157">
        <v>100</v>
      </c>
      <c r="G74" s="157">
        <f t="shared" si="5"/>
        <v>84.93796718436873</v>
      </c>
      <c r="H74" s="157">
        <f>G74*E74/100</f>
        <v>38.514902692060126</v>
      </c>
      <c r="I74" s="137">
        <f>45814000+157629419</f>
        <v>203443419</v>
      </c>
      <c r="J74" s="73">
        <f>I74/D74*100</f>
        <v>84.93796718436873</v>
      </c>
      <c r="K74" s="166">
        <f>D74-I74</f>
        <v>36076581</v>
      </c>
      <c r="L74" s="73">
        <f>K74/D74*100</f>
        <v>15.062032815631262</v>
      </c>
      <c r="N74" s="51"/>
      <c r="O74" s="36"/>
    </row>
    <row r="75" spans="1:15" ht="31.5" x14ac:dyDescent="0.2">
      <c r="A75" s="172"/>
      <c r="B75" s="181" t="s">
        <v>257</v>
      </c>
      <c r="C75" s="189" t="str">
        <f>[2]Sheet1!$I$67</f>
        <v>Bimbingan teknis tentang perencanan pembangunan daerah</v>
      </c>
      <c r="D75" s="151">
        <v>157340000</v>
      </c>
      <c r="E75" s="157">
        <f>D75/D72*100</f>
        <v>29.786831244557195</v>
      </c>
      <c r="F75" s="157">
        <v>100</v>
      </c>
      <c r="G75" s="157">
        <f t="shared" si="5"/>
        <v>46.913690097877208</v>
      </c>
      <c r="H75" s="157">
        <f t="shared" si="4"/>
        <v>13.974101700049223</v>
      </c>
      <c r="I75" s="137">
        <f>17044000+45814000+10956000</f>
        <v>73814000</v>
      </c>
      <c r="J75" s="73">
        <f>I75/D75*100</f>
        <v>46.913690097877208</v>
      </c>
      <c r="K75" s="166">
        <f>D75-I75</f>
        <v>83526000</v>
      </c>
      <c r="L75" s="73">
        <f>K75/D75*100</f>
        <v>53.0863099021228</v>
      </c>
      <c r="N75" s="51">
        <v>148680000</v>
      </c>
      <c r="O75" s="36">
        <f t="shared" si="14"/>
        <v>-74866000</v>
      </c>
    </row>
    <row r="76" spans="1:15" x14ac:dyDescent="0.2">
      <c r="A76" s="172"/>
      <c r="B76" s="46"/>
      <c r="C76" s="74"/>
      <c r="D76" s="151"/>
      <c r="E76" s="157"/>
      <c r="F76" s="157"/>
      <c r="G76" s="157"/>
      <c r="H76" s="157"/>
      <c r="I76" s="137"/>
      <c r="J76" s="73"/>
      <c r="K76" s="166"/>
      <c r="L76" s="73"/>
      <c r="N76" s="51"/>
      <c r="O76" s="36">
        <f t="shared" si="14"/>
        <v>0</v>
      </c>
    </row>
    <row r="77" spans="1:15" ht="21" x14ac:dyDescent="0.2">
      <c r="A77" s="172" t="s">
        <v>141</v>
      </c>
      <c r="B77" s="180" t="s">
        <v>258</v>
      </c>
      <c r="C77" s="27" t="str">
        <f>[2]Sheet1!$I$69</f>
        <v>Program perencanaan pembangunan daerah</v>
      </c>
      <c r="D77" s="144">
        <f>SUM(D78:D88)</f>
        <v>2874220000</v>
      </c>
      <c r="E77" s="156">
        <f>D77/D14*100</f>
        <v>22.247639192640193</v>
      </c>
      <c r="F77" s="156">
        <f>AVERAGE(F78:F86)</f>
        <v>100</v>
      </c>
      <c r="G77" s="156">
        <f>J77</f>
        <v>40.177297492885025</v>
      </c>
      <c r="H77" s="156">
        <f>G77*E77/100</f>
        <v>8.9385001835707332</v>
      </c>
      <c r="I77" s="136">
        <f>SUM(I78:I88)</f>
        <v>1154783920</v>
      </c>
      <c r="J77" s="163">
        <f t="shared" ref="J77:J88" si="15">I77/D77*100</f>
        <v>40.177297492885025</v>
      </c>
      <c r="K77" s="165">
        <f t="shared" ref="K77:K88" si="16">D77-I77</f>
        <v>1719436080</v>
      </c>
      <c r="L77" s="73">
        <f t="shared" ref="L77:L88" si="17">K77/D77*100</f>
        <v>59.822702507114975</v>
      </c>
      <c r="N77" s="31">
        <v>2806063016</v>
      </c>
      <c r="O77" s="36">
        <f t="shared" si="14"/>
        <v>-1651279096</v>
      </c>
    </row>
    <row r="78" spans="1:15" ht="42" x14ac:dyDescent="0.2">
      <c r="A78" s="172"/>
      <c r="B78" s="181" t="s">
        <v>259</v>
      </c>
      <c r="C78" s="189" t="str">
        <f>[2]Sheet1!$I$70</f>
        <v>Pengembangan partisipasi masyarakat dalam perumusan program dan kebijakan layanan publik</v>
      </c>
      <c r="D78" s="151">
        <v>200440000</v>
      </c>
      <c r="E78" s="157">
        <f>D78/D77*100</f>
        <v>6.9737180869940367</v>
      </c>
      <c r="F78" s="157">
        <v>100</v>
      </c>
      <c r="G78" s="157">
        <f>J78</f>
        <v>49.003192975453999</v>
      </c>
      <c r="H78" s="157">
        <f>G78*E78/100</f>
        <v>3.4173445317338267</v>
      </c>
      <c r="I78" s="186">
        <f>4022000+84900000+9300000</f>
        <v>98222000</v>
      </c>
      <c r="J78" s="73">
        <f t="shared" si="15"/>
        <v>49.003192975453999</v>
      </c>
      <c r="K78" s="166">
        <f t="shared" si="16"/>
        <v>102218000</v>
      </c>
      <c r="L78" s="73">
        <f t="shared" si="17"/>
        <v>50.996807024546001</v>
      </c>
      <c r="N78" s="75">
        <v>160465000</v>
      </c>
      <c r="O78" s="36">
        <f t="shared" si="14"/>
        <v>-62243000</v>
      </c>
    </row>
    <row r="79" spans="1:15" ht="21" x14ac:dyDescent="0.2">
      <c r="A79" s="172"/>
      <c r="B79" s="181" t="s">
        <v>260</v>
      </c>
      <c r="C79" s="189" t="s">
        <v>129</v>
      </c>
      <c r="D79" s="151">
        <v>372990000</v>
      </c>
      <c r="E79" s="157">
        <f>D79/D77*100</f>
        <v>12.977085957233614</v>
      </c>
      <c r="F79" s="157">
        <v>100</v>
      </c>
      <c r="G79" s="157">
        <f t="shared" si="5"/>
        <v>25.126678999436979</v>
      </c>
      <c r="H79" s="157">
        <f t="shared" si="4"/>
        <v>3.2607107319551041</v>
      </c>
      <c r="I79" s="137">
        <v>93720000</v>
      </c>
      <c r="J79" s="73">
        <f t="shared" si="15"/>
        <v>25.126678999436979</v>
      </c>
      <c r="K79" s="166">
        <f t="shared" si="16"/>
        <v>279270000</v>
      </c>
      <c r="L79" s="73">
        <f t="shared" si="17"/>
        <v>74.873321000563024</v>
      </c>
      <c r="N79" s="75"/>
      <c r="O79" s="36"/>
    </row>
    <row r="80" spans="1:15" x14ac:dyDescent="0.2">
      <c r="A80" s="172"/>
      <c r="B80" s="181" t="s">
        <v>261</v>
      </c>
      <c r="C80" s="189" t="str">
        <f>[2]Sheet1!$I$73</f>
        <v>Penyusunan rancangan RKPD</v>
      </c>
      <c r="D80" s="151">
        <v>420170000</v>
      </c>
      <c r="E80" s="157">
        <f>D80/D77*100</f>
        <v>14.618574778548615</v>
      </c>
      <c r="F80" s="157">
        <v>100</v>
      </c>
      <c r="G80" s="157">
        <f t="shared" si="5"/>
        <v>63.335204322060122</v>
      </c>
      <c r="H80" s="157">
        <f t="shared" si="4"/>
        <v>9.2587042049669126</v>
      </c>
      <c r="I80" s="186">
        <f>47450000+21670000+58125500+109676000+29194028</f>
        <v>266115528</v>
      </c>
      <c r="J80" s="73">
        <f t="shared" si="15"/>
        <v>63.335204322060122</v>
      </c>
      <c r="K80" s="166">
        <f t="shared" si="16"/>
        <v>154054472</v>
      </c>
      <c r="L80" s="73">
        <f t="shared" si="17"/>
        <v>36.664795677939885</v>
      </c>
      <c r="N80" s="51">
        <v>779776166</v>
      </c>
      <c r="O80" s="36">
        <f t="shared" ref="O80:O86" si="18">I80-N80</f>
        <v>-513660638</v>
      </c>
    </row>
    <row r="81" spans="1:15" ht="21" x14ac:dyDescent="0.2">
      <c r="A81" s="172"/>
      <c r="B81" s="181" t="s">
        <v>262</v>
      </c>
      <c r="C81" s="189" t="str">
        <f>[2]Sheet1!$I$74</f>
        <v>Penyelenggaraan musrenbang RKPD</v>
      </c>
      <c r="D81" s="151">
        <v>281300000</v>
      </c>
      <c r="E81" s="157">
        <f>D81/D77*100</f>
        <v>9.7870030825754455</v>
      </c>
      <c r="F81" s="157">
        <v>100</v>
      </c>
      <c r="G81" s="157">
        <f t="shared" si="5"/>
        <v>89.474571631709921</v>
      </c>
      <c r="H81" s="157">
        <f t="shared" si="4"/>
        <v>8.7568790837166244</v>
      </c>
      <c r="I81" s="186">
        <f>249249740+2442230</f>
        <v>251691970</v>
      </c>
      <c r="J81" s="73">
        <f t="shared" si="15"/>
        <v>89.474571631709921</v>
      </c>
      <c r="K81" s="166">
        <f t="shared" si="16"/>
        <v>29608030</v>
      </c>
      <c r="L81" s="73">
        <f t="shared" si="17"/>
        <v>10.525428368290083</v>
      </c>
      <c r="N81" s="51">
        <v>335029050</v>
      </c>
      <c r="O81" s="36">
        <f t="shared" si="18"/>
        <v>-83337080</v>
      </c>
    </row>
    <row r="82" spans="1:15" ht="31.5" x14ac:dyDescent="0.2">
      <c r="A82" s="172"/>
      <c r="B82" s="181" t="s">
        <v>263</v>
      </c>
      <c r="C82" s="189" t="str">
        <f>[2]Sheet1!$I$75</f>
        <v>Koordinasi penyusunan laporan Keterangan Pertanggung Jawaban (LKPJ)</v>
      </c>
      <c r="D82" s="151">
        <v>403300000</v>
      </c>
      <c r="E82" s="157">
        <f>D82/D77*100</f>
        <v>14.031632929977524</v>
      </c>
      <c r="F82" s="157">
        <v>100</v>
      </c>
      <c r="G82" s="157">
        <f t="shared" si="5"/>
        <v>87.677592115050828</v>
      </c>
      <c r="H82" s="157">
        <f t="shared" ref="H82:H112" si="19">G82*E82/100</f>
        <v>12.302597887426851</v>
      </c>
      <c r="I82" s="186">
        <f>86656771+154700000+112246958</f>
        <v>353603729</v>
      </c>
      <c r="J82" s="73">
        <f t="shared" si="15"/>
        <v>87.677592115050828</v>
      </c>
      <c r="K82" s="166">
        <f t="shared" si="16"/>
        <v>49696271</v>
      </c>
      <c r="L82" s="73">
        <f t="shared" si="17"/>
        <v>12.32240788494917</v>
      </c>
      <c r="N82" s="51">
        <v>267919800</v>
      </c>
      <c r="O82" s="36">
        <f t="shared" si="18"/>
        <v>85683929</v>
      </c>
    </row>
    <row r="83" spans="1:15" ht="21" x14ac:dyDescent="0.2">
      <c r="A83" s="172"/>
      <c r="B83" s="181" t="s">
        <v>264</v>
      </c>
      <c r="C83" s="189" t="str">
        <f>[2]Sheet1!$I$76</f>
        <v>Monitoring, evaluasi dan pelaporan</v>
      </c>
      <c r="D83" s="151">
        <v>216100000</v>
      </c>
      <c r="E83" s="157">
        <f>D83/D77*100</f>
        <v>7.5185615575704023</v>
      </c>
      <c r="F83" s="157">
        <v>100</v>
      </c>
      <c r="G83" s="157">
        <f t="shared" ref="G83:G112" si="20">J83</f>
        <v>11.730680240629338</v>
      </c>
      <c r="H83" s="157">
        <f t="shared" si="19"/>
        <v>0.88197841501346463</v>
      </c>
      <c r="I83" s="137">
        <v>25350000</v>
      </c>
      <c r="J83" s="73">
        <f t="shared" si="15"/>
        <v>11.730680240629338</v>
      </c>
      <c r="K83" s="166">
        <f t="shared" si="16"/>
        <v>190750000</v>
      </c>
      <c r="L83" s="73">
        <f t="shared" si="17"/>
        <v>88.26931975937066</v>
      </c>
      <c r="N83" s="51">
        <v>226558000</v>
      </c>
      <c r="O83" s="36">
        <f t="shared" si="18"/>
        <v>-201208000</v>
      </c>
    </row>
    <row r="84" spans="1:15" ht="21" x14ac:dyDescent="0.2">
      <c r="A84" s="172"/>
      <c r="B84" s="181" t="s">
        <v>265</v>
      </c>
      <c r="C84" s="189" t="str">
        <f>[2]Sheet1!$I$77</f>
        <v>Penyusunan KU APBD Perubahan</v>
      </c>
      <c r="D84" s="151">
        <v>198320000</v>
      </c>
      <c r="E84" s="157">
        <f>D84/D77*100</f>
        <v>6.8999589453834425</v>
      </c>
      <c r="F84" s="157">
        <v>100</v>
      </c>
      <c r="G84" s="157">
        <f t="shared" si="20"/>
        <v>0</v>
      </c>
      <c r="H84" s="157">
        <f t="shared" si="19"/>
        <v>0</v>
      </c>
      <c r="I84" s="137">
        <v>0</v>
      </c>
      <c r="J84" s="73">
        <f t="shared" si="15"/>
        <v>0</v>
      </c>
      <c r="K84" s="166">
        <f t="shared" si="16"/>
        <v>198320000</v>
      </c>
      <c r="L84" s="73">
        <f t="shared" si="17"/>
        <v>100</v>
      </c>
      <c r="N84" s="51">
        <v>246600000</v>
      </c>
      <c r="O84" s="36">
        <f t="shared" si="18"/>
        <v>-246600000</v>
      </c>
    </row>
    <row r="85" spans="1:15" x14ac:dyDescent="0.2">
      <c r="A85" s="172"/>
      <c r="B85" s="181" t="s">
        <v>266</v>
      </c>
      <c r="C85" s="189" t="str">
        <f>[2]Sheet1!$I$78</f>
        <v>Penyusunan PPAS Perubahan</v>
      </c>
      <c r="D85" s="151">
        <v>218320000</v>
      </c>
      <c r="E85" s="157">
        <f>D85/D77*100</f>
        <v>7.5957999039739477</v>
      </c>
      <c r="F85" s="157">
        <v>100</v>
      </c>
      <c r="G85" s="157">
        <f t="shared" si="20"/>
        <v>0</v>
      </c>
      <c r="H85" s="157">
        <f t="shared" si="19"/>
        <v>0</v>
      </c>
      <c r="I85" s="137">
        <v>0</v>
      </c>
      <c r="J85" s="73">
        <f t="shared" si="15"/>
        <v>0</v>
      </c>
      <c r="K85" s="166">
        <f t="shared" si="16"/>
        <v>218320000</v>
      </c>
      <c r="L85" s="73">
        <f t="shared" si="17"/>
        <v>100</v>
      </c>
      <c r="N85" s="51">
        <v>248120000</v>
      </c>
      <c r="O85" s="36">
        <f t="shared" si="18"/>
        <v>-248120000</v>
      </c>
    </row>
    <row r="86" spans="1:15" ht="31.5" x14ac:dyDescent="0.2">
      <c r="A86" s="172"/>
      <c r="B86" s="181" t="s">
        <v>267</v>
      </c>
      <c r="C86" s="189" t="str">
        <f>[2]Sheet1!$I$80</f>
        <v>Pengumpulan, Updating dan Analisis Sistem Informasi Pembangunan Daerah</v>
      </c>
      <c r="D86" s="151">
        <v>146640000</v>
      </c>
      <c r="E86" s="157">
        <f>D86/D77*100</f>
        <v>5.1019059083855796</v>
      </c>
      <c r="F86" s="157">
        <v>100</v>
      </c>
      <c r="G86" s="157">
        <f t="shared" si="20"/>
        <v>36.743516775777415</v>
      </c>
      <c r="H86" s="157">
        <f t="shared" si="19"/>
        <v>1.8746196533320347</v>
      </c>
      <c r="I86" s="137">
        <f>23850000+10350693+500000+19180000</f>
        <v>53880693</v>
      </c>
      <c r="J86" s="73">
        <f t="shared" si="15"/>
        <v>36.743516775777415</v>
      </c>
      <c r="K86" s="166">
        <f t="shared" si="16"/>
        <v>92759307</v>
      </c>
      <c r="L86" s="73">
        <f t="shared" si="17"/>
        <v>63.256483224222585</v>
      </c>
      <c r="N86" s="51">
        <v>129110000</v>
      </c>
      <c r="O86" s="36">
        <f t="shared" si="18"/>
        <v>-75229307</v>
      </c>
    </row>
    <row r="87" spans="1:15" x14ac:dyDescent="0.2">
      <c r="A87" s="172"/>
      <c r="B87" s="181" t="s">
        <v>268</v>
      </c>
      <c r="C87" s="188" t="s">
        <v>138</v>
      </c>
      <c r="D87" s="151">
        <v>198320000</v>
      </c>
      <c r="E87" s="157">
        <f>D87/D77*100</f>
        <v>6.8999589453834425</v>
      </c>
      <c r="F87" s="157">
        <v>100</v>
      </c>
      <c r="G87" s="157">
        <f t="shared" si="20"/>
        <v>2.6018555869302138</v>
      </c>
      <c r="H87" s="157">
        <f t="shared" si="19"/>
        <v>0.17952696731635015</v>
      </c>
      <c r="I87" s="137">
        <v>5160000</v>
      </c>
      <c r="J87" s="73">
        <f t="shared" si="15"/>
        <v>2.6018555869302138</v>
      </c>
      <c r="K87" s="166">
        <f t="shared" si="16"/>
        <v>193160000</v>
      </c>
      <c r="L87" s="73">
        <f t="shared" si="17"/>
        <v>97.398144413069787</v>
      </c>
      <c r="N87" s="51"/>
      <c r="O87" s="36"/>
    </row>
    <row r="88" spans="1:15" x14ac:dyDescent="0.2">
      <c r="A88" s="172"/>
      <c r="B88" s="181" t="s">
        <v>269</v>
      </c>
      <c r="C88" s="188" t="s">
        <v>140</v>
      </c>
      <c r="D88" s="151">
        <v>218320000</v>
      </c>
      <c r="E88" s="157">
        <f>D88/D77*100</f>
        <v>7.5957999039739477</v>
      </c>
      <c r="F88" s="157">
        <v>100</v>
      </c>
      <c r="G88" s="157">
        <f t="shared" si="20"/>
        <v>3.2246244045437891</v>
      </c>
      <c r="H88" s="157">
        <f t="shared" si="19"/>
        <v>0.24493601742385759</v>
      </c>
      <c r="I88" s="137">
        <v>7040000</v>
      </c>
      <c r="J88" s="73">
        <f t="shared" si="15"/>
        <v>3.2246244045437891</v>
      </c>
      <c r="K88" s="166">
        <f t="shared" si="16"/>
        <v>211280000</v>
      </c>
      <c r="L88" s="73">
        <f t="shared" si="17"/>
        <v>96.775375595456211</v>
      </c>
      <c r="N88" s="51"/>
      <c r="O88" s="36"/>
    </row>
    <row r="89" spans="1:15" x14ac:dyDescent="0.2">
      <c r="A89" s="172"/>
      <c r="B89" s="46"/>
      <c r="C89" s="47"/>
      <c r="D89" s="151"/>
      <c r="E89" s="157"/>
      <c r="F89" s="157"/>
      <c r="G89" s="157"/>
      <c r="H89" s="157"/>
      <c r="I89" s="137"/>
      <c r="J89" s="73"/>
      <c r="K89" s="166"/>
      <c r="L89" s="73"/>
      <c r="N89" s="51"/>
      <c r="O89" s="36"/>
    </row>
    <row r="90" spans="1:15" ht="21" x14ac:dyDescent="0.2">
      <c r="A90" s="172" t="s">
        <v>153</v>
      </c>
      <c r="B90" s="180" t="s">
        <v>270</v>
      </c>
      <c r="C90" s="27" t="str">
        <f>[2]Sheet1!$I$81</f>
        <v>Program perencanaan pembangunan ekonomi</v>
      </c>
      <c r="D90" s="144">
        <f>SUM(D91:D97)</f>
        <v>1091600000</v>
      </c>
      <c r="E90" s="156">
        <f>D90/D14*100</f>
        <v>8.4494307821551704</v>
      </c>
      <c r="F90" s="156">
        <f>AVERAGE(F91:F96)</f>
        <v>100</v>
      </c>
      <c r="G90" s="156">
        <f t="shared" si="20"/>
        <v>4.4681659948699162</v>
      </c>
      <c r="H90" s="156">
        <f t="shared" si="19"/>
        <v>0.37753459296832853</v>
      </c>
      <c r="I90" s="136">
        <f>SUM(I91:I97)</f>
        <v>48774500</v>
      </c>
      <c r="J90" s="163">
        <f>I90/D90*100</f>
        <v>4.4681659948699162</v>
      </c>
      <c r="K90" s="165">
        <f t="shared" ref="K90:K96" si="21">D90-I90</f>
        <v>1042825500</v>
      </c>
      <c r="L90" s="73">
        <f t="shared" ref="L90:L96" si="22">K90/D90*100</f>
        <v>95.531834005130094</v>
      </c>
      <c r="N90" s="31">
        <v>797617530</v>
      </c>
      <c r="O90" s="36">
        <f>I90-N90</f>
        <v>-748843030</v>
      </c>
    </row>
    <row r="91" spans="1:15" ht="21" x14ac:dyDescent="0.2">
      <c r="A91" s="172"/>
      <c r="B91" s="179" t="s">
        <v>272</v>
      </c>
      <c r="C91" s="189" t="str">
        <f>[2]Sheet1!$I$82</f>
        <v>Penyusunan Indikator ekonomi daerah</v>
      </c>
      <c r="D91" s="151">
        <v>146640000</v>
      </c>
      <c r="E91" s="157">
        <f>D91/D90*100</f>
        <v>13.433492121656284</v>
      </c>
      <c r="F91" s="157">
        <v>100</v>
      </c>
      <c r="G91" s="157">
        <f t="shared" si="20"/>
        <v>2.6459356246590291</v>
      </c>
      <c r="H91" s="157">
        <f t="shared" si="19"/>
        <v>0.35544155368266767</v>
      </c>
      <c r="I91" s="137">
        <v>3880000</v>
      </c>
      <c r="J91" s="73">
        <f t="shared" ref="J91:J96" si="23">I91/D91*100</f>
        <v>2.6459356246590291</v>
      </c>
      <c r="K91" s="166">
        <f t="shared" si="21"/>
        <v>142760000</v>
      </c>
      <c r="L91" s="73">
        <f t="shared" si="22"/>
        <v>97.354064375340982</v>
      </c>
      <c r="N91" s="51">
        <v>186005678</v>
      </c>
      <c r="O91" s="36">
        <f>I91-N91</f>
        <v>-182125678</v>
      </c>
    </row>
    <row r="92" spans="1:15" ht="31.5" x14ac:dyDescent="0.2">
      <c r="A92" s="172"/>
      <c r="B92" s="183" t="s">
        <v>273</v>
      </c>
      <c r="C92" s="189" t="s">
        <v>290</v>
      </c>
      <c r="D92" s="151">
        <v>146640000</v>
      </c>
      <c r="E92" s="157">
        <f>D92/D90*100</f>
        <v>13.433492121656284</v>
      </c>
      <c r="F92" s="157">
        <v>100</v>
      </c>
      <c r="G92" s="157">
        <f t="shared" si="20"/>
        <v>2.9834969994544465</v>
      </c>
      <c r="H92" s="157">
        <f t="shared" si="19"/>
        <v>0.40078783437156468</v>
      </c>
      <c r="I92" s="137">
        <v>4375000</v>
      </c>
      <c r="J92" s="73">
        <f t="shared" si="23"/>
        <v>2.9834969994544465</v>
      </c>
      <c r="K92" s="166">
        <f t="shared" si="21"/>
        <v>142265000</v>
      </c>
      <c r="L92" s="73">
        <f t="shared" si="22"/>
        <v>97.016503000545555</v>
      </c>
      <c r="N92" s="51"/>
      <c r="O92" s="36"/>
    </row>
    <row r="93" spans="1:15" ht="21" x14ac:dyDescent="0.2">
      <c r="A93" s="172"/>
      <c r="B93" s="183" t="s">
        <v>274</v>
      </c>
      <c r="C93" s="189" t="str">
        <f>[2]Sheet1!$I$84</f>
        <v>Koordinasi perencanaan pembangunan bidang ekonomi</v>
      </c>
      <c r="D93" s="151">
        <v>111160000</v>
      </c>
      <c r="E93" s="157">
        <f>D93/D90*100</f>
        <v>10.183217295712716</v>
      </c>
      <c r="F93" s="157">
        <v>100</v>
      </c>
      <c r="G93" s="157">
        <f t="shared" si="20"/>
        <v>23.596617488305146</v>
      </c>
      <c r="H93" s="157">
        <f t="shared" si="19"/>
        <v>2.4028948332722608</v>
      </c>
      <c r="I93" s="137">
        <f>23230000+3000000</f>
        <v>26230000</v>
      </c>
      <c r="J93" s="73">
        <f t="shared" si="23"/>
        <v>23.596617488305146</v>
      </c>
      <c r="K93" s="166">
        <f t="shared" si="21"/>
        <v>84930000</v>
      </c>
      <c r="L93" s="73">
        <f t="shared" si="22"/>
        <v>76.403382511694844</v>
      </c>
      <c r="N93" s="51">
        <v>205639452</v>
      </c>
      <c r="O93" s="36">
        <f>I93-N93</f>
        <v>-179409452</v>
      </c>
    </row>
    <row r="94" spans="1:15" ht="21" x14ac:dyDescent="0.2">
      <c r="A94" s="172"/>
      <c r="B94" s="183" t="s">
        <v>275</v>
      </c>
      <c r="C94" s="189" t="s">
        <v>148</v>
      </c>
      <c r="D94" s="151">
        <v>145260000</v>
      </c>
      <c r="E94" s="157">
        <f>D94/D90*100</f>
        <v>13.30707218761451</v>
      </c>
      <c r="F94" s="157">
        <v>100</v>
      </c>
      <c r="G94" s="157">
        <f t="shared" si="20"/>
        <v>2.5196199917389506</v>
      </c>
      <c r="H94" s="157">
        <f t="shared" si="19"/>
        <v>0.33528765115426895</v>
      </c>
      <c r="I94" s="137">
        <v>3660000</v>
      </c>
      <c r="J94" s="73">
        <f t="shared" si="23"/>
        <v>2.5196199917389506</v>
      </c>
      <c r="K94" s="166">
        <f t="shared" si="21"/>
        <v>141600000</v>
      </c>
      <c r="L94" s="73">
        <f t="shared" si="22"/>
        <v>97.480380008261051</v>
      </c>
      <c r="N94" s="51">
        <v>48696300</v>
      </c>
      <c r="O94" s="36">
        <f>I94-N94</f>
        <v>-45036300</v>
      </c>
    </row>
    <row r="95" spans="1:15" x14ac:dyDescent="0.2">
      <c r="A95" s="172"/>
      <c r="B95" s="183" t="s">
        <v>276</v>
      </c>
      <c r="C95" s="189" t="s">
        <v>150</v>
      </c>
      <c r="D95" s="151">
        <v>146640000</v>
      </c>
      <c r="E95" s="157">
        <f>D95/D90*100</f>
        <v>13.433492121656284</v>
      </c>
      <c r="F95" s="157">
        <v>100</v>
      </c>
      <c r="G95" s="157">
        <f t="shared" si="20"/>
        <v>2.0458265139116203</v>
      </c>
      <c r="H95" s="157">
        <f t="shared" si="19"/>
        <v>0.27482594356907292</v>
      </c>
      <c r="I95" s="137">
        <v>3000000</v>
      </c>
      <c r="J95" s="73">
        <f t="shared" si="23"/>
        <v>2.0458265139116203</v>
      </c>
      <c r="K95" s="166">
        <f t="shared" si="21"/>
        <v>143640000</v>
      </c>
      <c r="L95" s="73">
        <f t="shared" si="22"/>
        <v>97.954173486088379</v>
      </c>
      <c r="N95" s="51"/>
      <c r="O95" s="36"/>
    </row>
    <row r="96" spans="1:15" s="80" customFormat="1" ht="21" x14ac:dyDescent="0.2">
      <c r="A96" s="175"/>
      <c r="B96" s="183" t="s">
        <v>277</v>
      </c>
      <c r="C96" s="189" t="s">
        <v>152</v>
      </c>
      <c r="D96" s="151">
        <v>245260000</v>
      </c>
      <c r="E96" s="157">
        <f>D96/D90*100</f>
        <v>22.467936973250275</v>
      </c>
      <c r="F96" s="157">
        <v>100</v>
      </c>
      <c r="G96" s="157">
        <f t="shared" si="20"/>
        <v>3.1107803963141158</v>
      </c>
      <c r="H96" s="157">
        <f t="shared" si="19"/>
        <v>0.69892817882008063</v>
      </c>
      <c r="I96" s="137">
        <f>7000000+629500</f>
        <v>7629500</v>
      </c>
      <c r="J96" s="73">
        <f t="shared" si="23"/>
        <v>3.1107803963141158</v>
      </c>
      <c r="K96" s="166">
        <f t="shared" si="21"/>
        <v>237630500</v>
      </c>
      <c r="L96" s="73">
        <f t="shared" si="22"/>
        <v>96.889219603685888</v>
      </c>
      <c r="N96" s="81">
        <v>234465000</v>
      </c>
      <c r="O96" s="82">
        <f>I96-N96</f>
        <v>-226835500</v>
      </c>
    </row>
    <row r="97" spans="1:15" s="80" customFormat="1" ht="31.5" x14ac:dyDescent="0.2">
      <c r="A97" s="175"/>
      <c r="B97" s="183" t="s">
        <v>301</v>
      </c>
      <c r="C97" s="189" t="s">
        <v>302</v>
      </c>
      <c r="D97" s="151">
        <v>150000000</v>
      </c>
      <c r="E97" s="157">
        <f>D97/D90*100</f>
        <v>13.741297178453646</v>
      </c>
      <c r="F97" s="157">
        <v>100</v>
      </c>
      <c r="G97" s="157">
        <f>J97</f>
        <v>0</v>
      </c>
      <c r="H97" s="157">
        <f>G97*E97/100</f>
        <v>0</v>
      </c>
      <c r="I97" s="137">
        <v>0</v>
      </c>
      <c r="J97" s="73">
        <f>I97/D97*100</f>
        <v>0</v>
      </c>
      <c r="K97" s="166">
        <f>D97-I97</f>
        <v>150000000</v>
      </c>
      <c r="L97" s="73">
        <f>K97/D97*100</f>
        <v>100</v>
      </c>
      <c r="N97" s="81"/>
      <c r="O97" s="82"/>
    </row>
    <row r="98" spans="1:15" x14ac:dyDescent="0.2">
      <c r="A98" s="172"/>
      <c r="B98" s="46"/>
      <c r="C98" s="61"/>
      <c r="D98" s="151"/>
      <c r="E98" s="157"/>
      <c r="F98" s="157"/>
      <c r="G98" s="157"/>
      <c r="H98" s="157"/>
      <c r="I98" s="137"/>
      <c r="J98" s="73"/>
      <c r="K98" s="166"/>
      <c r="L98" s="73"/>
      <c r="N98" s="51"/>
      <c r="O98" s="36">
        <f>I98-N98</f>
        <v>0</v>
      </c>
    </row>
    <row r="99" spans="1:15" ht="21" x14ac:dyDescent="0.2">
      <c r="A99" s="172" t="s">
        <v>163</v>
      </c>
      <c r="B99" s="180" t="s">
        <v>271</v>
      </c>
      <c r="C99" s="27" t="str">
        <f>[2]Sheet1!$I$89</f>
        <v>Program perencanaan sosial dan budaya</v>
      </c>
      <c r="D99" s="144">
        <f>SUM(D100:D104)</f>
        <v>768250000</v>
      </c>
      <c r="E99" s="156">
        <f>D99/D14*100</f>
        <v>5.9465694378808251</v>
      </c>
      <c r="F99" s="156">
        <f>AVERAGE(F100:F103)</f>
        <v>100</v>
      </c>
      <c r="G99" s="156">
        <f>J99</f>
        <v>25.506996420436057</v>
      </c>
      <c r="H99" s="156">
        <f>G99*E99/100</f>
        <v>1.5167912536590067</v>
      </c>
      <c r="I99" s="136">
        <f>SUM(I100:I104)</f>
        <v>195957500</v>
      </c>
      <c r="J99" s="163">
        <f t="shared" ref="J99:J104" si="24">I99/D99*100</f>
        <v>25.506996420436057</v>
      </c>
      <c r="K99" s="165">
        <f t="shared" ref="K99:K104" si="25">D99-I99</f>
        <v>572292500</v>
      </c>
      <c r="L99" s="73">
        <f t="shared" ref="L99:L104" si="26">K99/D99*100</f>
        <v>74.493003579563947</v>
      </c>
      <c r="N99" s="31">
        <v>417742000</v>
      </c>
      <c r="O99" s="36">
        <f>I99-N99</f>
        <v>-221784500</v>
      </c>
    </row>
    <row r="100" spans="1:15" ht="31.5" x14ac:dyDescent="0.2">
      <c r="A100" s="172"/>
      <c r="B100" s="183" t="s">
        <v>278</v>
      </c>
      <c r="C100" s="189" t="str">
        <f>[2]Sheet1!$I$90</f>
        <v>Koordinasi perencanaan pembangunan bidang sosial dan budaya</v>
      </c>
      <c r="D100" s="151">
        <v>201880000</v>
      </c>
      <c r="E100" s="157">
        <f>D100/D99*100</f>
        <v>26.277904328018227</v>
      </c>
      <c r="F100" s="157">
        <v>100</v>
      </c>
      <c r="G100" s="157">
        <f t="shared" si="20"/>
        <v>36.605904497721419</v>
      </c>
      <c r="H100" s="157">
        <f t="shared" si="19"/>
        <v>9.619264562316955</v>
      </c>
      <c r="I100" s="137">
        <v>73900000</v>
      </c>
      <c r="J100" s="73">
        <f t="shared" si="24"/>
        <v>36.605904497721419</v>
      </c>
      <c r="K100" s="166">
        <f t="shared" si="25"/>
        <v>127980000</v>
      </c>
      <c r="L100" s="73">
        <f t="shared" si="26"/>
        <v>63.394095502278581</v>
      </c>
      <c r="N100" s="51">
        <v>325940000</v>
      </c>
      <c r="O100" s="36">
        <f>I100-N100</f>
        <v>-252040000</v>
      </c>
    </row>
    <row r="101" spans="1:15" x14ac:dyDescent="0.2">
      <c r="A101" s="172"/>
      <c r="B101" s="183" t="s">
        <v>279</v>
      </c>
      <c r="C101" s="189" t="str">
        <f>[2]Sheet1!$I$91</f>
        <v>Pelaksanaan Program KHPPIA</v>
      </c>
      <c r="D101" s="151">
        <v>107880000</v>
      </c>
      <c r="E101" s="157">
        <f>D101/D99*100</f>
        <v>14.042303937520339</v>
      </c>
      <c r="F101" s="157">
        <v>100</v>
      </c>
      <c r="G101" s="157">
        <f t="shared" si="20"/>
        <v>35.035224323322211</v>
      </c>
      <c r="H101" s="157">
        <f t="shared" si="19"/>
        <v>4.9197526846729582</v>
      </c>
      <c r="I101" s="137">
        <v>37796000</v>
      </c>
      <c r="J101" s="73">
        <f t="shared" si="24"/>
        <v>35.035224323322211</v>
      </c>
      <c r="K101" s="166">
        <f t="shared" si="25"/>
        <v>70084000</v>
      </c>
      <c r="L101" s="73">
        <f t="shared" si="26"/>
        <v>64.964775676677789</v>
      </c>
      <c r="N101" s="51">
        <v>53102000</v>
      </c>
      <c r="O101" s="36">
        <f>I101-N101</f>
        <v>-15306000</v>
      </c>
    </row>
    <row r="102" spans="1:15" ht="31.5" x14ac:dyDescent="0.2">
      <c r="A102" s="172"/>
      <c r="B102" s="183" t="s">
        <v>280</v>
      </c>
      <c r="C102" s="189" t="s">
        <v>158</v>
      </c>
      <c r="D102" s="151">
        <v>160960000</v>
      </c>
      <c r="E102" s="157">
        <f>D102/D99*100</f>
        <v>20.951513179303614</v>
      </c>
      <c r="F102" s="157">
        <v>100</v>
      </c>
      <c r="G102" s="157">
        <f t="shared" si="20"/>
        <v>2.2738568588469183</v>
      </c>
      <c r="H102" s="157">
        <f t="shared" si="19"/>
        <v>0.47640741945981124</v>
      </c>
      <c r="I102" s="186">
        <v>3660000</v>
      </c>
      <c r="J102" s="73">
        <f t="shared" si="24"/>
        <v>2.2738568588469183</v>
      </c>
      <c r="K102" s="166">
        <f t="shared" si="25"/>
        <v>157300000</v>
      </c>
      <c r="L102" s="73">
        <f t="shared" si="26"/>
        <v>97.726143141153074</v>
      </c>
      <c r="N102" s="51"/>
      <c r="O102" s="36"/>
    </row>
    <row r="103" spans="1:15" ht="31.5" x14ac:dyDescent="0.2">
      <c r="A103" s="172"/>
      <c r="B103" s="181" t="s">
        <v>281</v>
      </c>
      <c r="C103" s="191" t="s">
        <v>160</v>
      </c>
      <c r="D103" s="151">
        <v>177940000</v>
      </c>
      <c r="E103" s="157">
        <f>D103/D99*100</f>
        <v>23.161731207289293</v>
      </c>
      <c r="F103" s="157">
        <v>100</v>
      </c>
      <c r="G103" s="157">
        <f t="shared" si="20"/>
        <v>30.601045296167246</v>
      </c>
      <c r="H103" s="157">
        <f t="shared" si="19"/>
        <v>7.0877318581191018</v>
      </c>
      <c r="I103" s="186">
        <f>21750000+32701500</f>
        <v>54451500</v>
      </c>
      <c r="J103" s="73">
        <f t="shared" si="24"/>
        <v>30.601045296167246</v>
      </c>
      <c r="K103" s="166">
        <f t="shared" si="25"/>
        <v>123488500</v>
      </c>
      <c r="L103" s="73">
        <f t="shared" si="26"/>
        <v>69.398954703832743</v>
      </c>
      <c r="N103" s="51">
        <v>38700000</v>
      </c>
      <c r="O103" s="36">
        <f>I103-N103</f>
        <v>15751500</v>
      </c>
    </row>
    <row r="104" spans="1:15" ht="21" x14ac:dyDescent="0.2">
      <c r="A104" s="172"/>
      <c r="B104" s="183" t="s">
        <v>282</v>
      </c>
      <c r="C104" s="192" t="s">
        <v>162</v>
      </c>
      <c r="D104" s="151">
        <v>119590000</v>
      </c>
      <c r="E104" s="157">
        <f>D104/D99*100</f>
        <v>15.566547347868532</v>
      </c>
      <c r="F104" s="157">
        <v>100</v>
      </c>
      <c r="G104" s="157">
        <f t="shared" si="20"/>
        <v>21.866376787356803</v>
      </c>
      <c r="H104" s="157">
        <f t="shared" si="19"/>
        <v>3.4038398958672307</v>
      </c>
      <c r="I104" s="137">
        <v>26150000</v>
      </c>
      <c r="J104" s="73">
        <f t="shared" si="24"/>
        <v>21.866376787356803</v>
      </c>
      <c r="K104" s="166">
        <f t="shared" si="25"/>
        <v>93440000</v>
      </c>
      <c r="L104" s="73">
        <f t="shared" si="26"/>
        <v>78.133623212643201</v>
      </c>
      <c r="N104" s="51"/>
      <c r="O104" s="36"/>
    </row>
    <row r="105" spans="1:15" x14ac:dyDescent="0.2">
      <c r="A105" s="172"/>
      <c r="B105" s="46"/>
      <c r="C105" s="133"/>
      <c r="D105" s="151"/>
      <c r="E105" s="157"/>
      <c r="F105" s="157"/>
      <c r="G105" s="157"/>
      <c r="H105" s="157"/>
      <c r="I105" s="137"/>
      <c r="J105" s="73"/>
      <c r="K105" s="166"/>
      <c r="L105" s="73"/>
      <c r="N105" s="51"/>
      <c r="O105" s="36"/>
    </row>
    <row r="106" spans="1:15" ht="42" x14ac:dyDescent="0.2">
      <c r="A106" s="172" t="s">
        <v>204</v>
      </c>
      <c r="B106" s="184" t="s">
        <v>283</v>
      </c>
      <c r="C106" s="27" t="s">
        <v>292</v>
      </c>
      <c r="D106" s="144">
        <f>SUM(D107:D112)</f>
        <v>1096404000</v>
      </c>
      <c r="E106" s="156">
        <f>D106/D14*100</f>
        <v>8.4866157083895715</v>
      </c>
      <c r="F106" s="156">
        <f>AVERAGE(F107:F111)</f>
        <v>100</v>
      </c>
      <c r="G106" s="156">
        <f>J106</f>
        <v>8.925542044720741</v>
      </c>
      <c r="H106" s="156">
        <f>G106*E106/100</f>
        <v>0.75747645322618606</v>
      </c>
      <c r="I106" s="136">
        <f>SUM(I107:I112)</f>
        <v>97860000</v>
      </c>
      <c r="J106" s="163">
        <f t="shared" ref="J106:J112" si="27">I106/D106*100</f>
        <v>8.925542044720741</v>
      </c>
      <c r="K106" s="165">
        <f t="shared" ref="K106:K112" si="28">D106-I106</f>
        <v>998544000</v>
      </c>
      <c r="L106" s="73">
        <f t="shared" ref="L106:L112" si="29">K106/D106*100</f>
        <v>91.074457955279257</v>
      </c>
      <c r="N106" s="31">
        <v>383477500</v>
      </c>
      <c r="O106" s="36">
        <f>I106-N106</f>
        <v>-285617500</v>
      </c>
    </row>
    <row r="107" spans="1:15" ht="31.5" x14ac:dyDescent="0.2">
      <c r="A107" s="172"/>
      <c r="B107" s="185" t="s">
        <v>284</v>
      </c>
      <c r="C107" s="189" t="s">
        <v>167</v>
      </c>
      <c r="D107" s="151">
        <v>221640000</v>
      </c>
      <c r="E107" s="157">
        <f>D107/D106*100</f>
        <v>20.215176157693694</v>
      </c>
      <c r="F107" s="157">
        <v>100</v>
      </c>
      <c r="G107" s="157">
        <f t="shared" si="20"/>
        <v>24.774408951452806</v>
      </c>
      <c r="H107" s="157">
        <f t="shared" si="19"/>
        <v>5.0081904115636204</v>
      </c>
      <c r="I107" s="186">
        <f>3000000+50000000+1910000</f>
        <v>54910000</v>
      </c>
      <c r="J107" s="73">
        <f t="shared" si="27"/>
        <v>24.774408951452806</v>
      </c>
      <c r="K107" s="166">
        <f t="shared" si="28"/>
        <v>166730000</v>
      </c>
      <c r="L107" s="73">
        <f t="shared" si="29"/>
        <v>75.225591048547187</v>
      </c>
      <c r="N107" s="51">
        <v>168150000</v>
      </c>
      <c r="O107" s="36">
        <f>I107-N107</f>
        <v>-113240000</v>
      </c>
    </row>
    <row r="108" spans="1:15" ht="21" x14ac:dyDescent="0.2">
      <c r="A108" s="172"/>
      <c r="B108" s="185" t="s">
        <v>285</v>
      </c>
      <c r="C108" s="189" t="s">
        <v>201</v>
      </c>
      <c r="D108" s="151">
        <v>116640000</v>
      </c>
      <c r="E108" s="157">
        <f>D108/D106*100</f>
        <v>10.63841430713496</v>
      </c>
      <c r="F108" s="157">
        <v>100</v>
      </c>
      <c r="G108" s="157">
        <f t="shared" si="20"/>
        <v>2.57201646090535</v>
      </c>
      <c r="H108" s="157">
        <f t="shared" si="19"/>
        <v>0.27362176715882103</v>
      </c>
      <c r="I108" s="137">
        <v>3000000</v>
      </c>
      <c r="J108" s="73">
        <f t="shared" si="27"/>
        <v>2.57201646090535</v>
      </c>
      <c r="K108" s="166">
        <f t="shared" si="28"/>
        <v>113640000</v>
      </c>
      <c r="L108" s="73">
        <f t="shared" si="29"/>
        <v>97.427983539094654</v>
      </c>
      <c r="N108" s="51"/>
      <c r="O108" s="36"/>
    </row>
    <row r="109" spans="1:15" ht="21" x14ac:dyDescent="0.2">
      <c r="A109" s="172"/>
      <c r="B109" s="185" t="s">
        <v>286</v>
      </c>
      <c r="C109" s="189" t="s">
        <v>203</v>
      </c>
      <c r="D109" s="151">
        <v>146640000</v>
      </c>
      <c r="E109" s="157">
        <f>D109/D106*100</f>
        <v>13.374631978723173</v>
      </c>
      <c r="F109" s="157">
        <v>100</v>
      </c>
      <c r="G109" s="157">
        <f t="shared" si="20"/>
        <v>1.67075831969449</v>
      </c>
      <c r="H109" s="157">
        <f t="shared" si="19"/>
        <v>0.22345777651303719</v>
      </c>
      <c r="I109" s="137">
        <v>2450000</v>
      </c>
      <c r="J109" s="73">
        <f t="shared" si="27"/>
        <v>1.67075831969449</v>
      </c>
      <c r="K109" s="166">
        <f t="shared" si="28"/>
        <v>144190000</v>
      </c>
      <c r="L109" s="73">
        <f t="shared" si="29"/>
        <v>98.329241680305515</v>
      </c>
      <c r="N109" s="51"/>
      <c r="O109" s="36"/>
    </row>
    <row r="110" spans="1:15" ht="31.5" x14ac:dyDescent="0.2">
      <c r="A110" s="172"/>
      <c r="B110" s="185" t="s">
        <v>287</v>
      </c>
      <c r="C110" s="189" t="s">
        <v>169</v>
      </c>
      <c r="D110" s="151">
        <v>160260000</v>
      </c>
      <c r="E110" s="157">
        <f>D110/D106*100</f>
        <v>14.616874801624219</v>
      </c>
      <c r="F110" s="157">
        <v>100</v>
      </c>
      <c r="G110" s="157">
        <f t="shared" si="20"/>
        <v>2.1839510794958192</v>
      </c>
      <c r="H110" s="157">
        <f t="shared" si="19"/>
        <v>0.31922539501862451</v>
      </c>
      <c r="I110" s="137">
        <v>3500000</v>
      </c>
      <c r="J110" s="73">
        <f t="shared" si="27"/>
        <v>2.1839510794958192</v>
      </c>
      <c r="K110" s="166">
        <f t="shared" si="28"/>
        <v>156760000</v>
      </c>
      <c r="L110" s="73">
        <f t="shared" si="29"/>
        <v>97.816048920504187</v>
      </c>
      <c r="N110" s="51">
        <v>89350000</v>
      </c>
      <c r="O110" s="36">
        <f>I110-N110</f>
        <v>-85850000</v>
      </c>
    </row>
    <row r="111" spans="1:15" ht="31.5" x14ac:dyDescent="0.2">
      <c r="A111" s="172"/>
      <c r="B111" s="185" t="s">
        <v>288</v>
      </c>
      <c r="C111" s="189" t="s">
        <v>171</v>
      </c>
      <c r="D111" s="151">
        <v>155964000</v>
      </c>
      <c r="E111" s="157">
        <f>D111/D106*100</f>
        <v>14.225048431052786</v>
      </c>
      <c r="F111" s="157">
        <v>100</v>
      </c>
      <c r="G111" s="157">
        <f t="shared" si="20"/>
        <v>10.899951270806083</v>
      </c>
      <c r="H111" s="157">
        <f t="shared" si="19"/>
        <v>1.5505233472333189</v>
      </c>
      <c r="I111" s="137">
        <f>15953000+1047000</f>
        <v>17000000</v>
      </c>
      <c r="J111" s="73">
        <f t="shared" si="27"/>
        <v>10.899951270806083</v>
      </c>
      <c r="K111" s="166">
        <f t="shared" si="28"/>
        <v>138964000</v>
      </c>
      <c r="L111" s="73">
        <f t="shared" si="29"/>
        <v>89.100048729193915</v>
      </c>
      <c r="N111" s="51">
        <v>125977500</v>
      </c>
      <c r="O111" s="36">
        <f>I111-N111</f>
        <v>-108977500</v>
      </c>
    </row>
    <row r="112" spans="1:15" ht="21.75" thickBot="1" x14ac:dyDescent="0.25">
      <c r="A112" s="176"/>
      <c r="B112" s="182" t="s">
        <v>289</v>
      </c>
      <c r="C112" s="190" t="s">
        <v>202</v>
      </c>
      <c r="D112" s="152">
        <v>295260000</v>
      </c>
      <c r="E112" s="159">
        <f>D112/D106*100</f>
        <v>26.929854323771163</v>
      </c>
      <c r="F112" s="159">
        <v>100</v>
      </c>
      <c r="G112" s="159">
        <f t="shared" si="20"/>
        <v>5.7576373365847049</v>
      </c>
      <c r="H112" s="159">
        <f t="shared" si="19"/>
        <v>1.5505233472333191</v>
      </c>
      <c r="I112" s="141">
        <f>16494000+506000</f>
        <v>17000000</v>
      </c>
      <c r="J112" s="170">
        <f t="shared" si="27"/>
        <v>5.7576373365847049</v>
      </c>
      <c r="K112" s="167">
        <f t="shared" si="28"/>
        <v>278260000</v>
      </c>
      <c r="L112" s="170">
        <f t="shared" si="29"/>
        <v>94.242362663415292</v>
      </c>
      <c r="N112" s="94"/>
      <c r="O112" s="36">
        <f>I112-N112</f>
        <v>17000000</v>
      </c>
    </row>
    <row r="113" spans="1:14" x14ac:dyDescent="0.2">
      <c r="A113" s="153"/>
      <c r="B113" s="95"/>
      <c r="D113" s="153"/>
      <c r="E113" s="153"/>
      <c r="F113" s="153"/>
      <c r="G113" s="153"/>
      <c r="H113" s="153"/>
      <c r="J113" s="153"/>
      <c r="K113" s="153"/>
      <c r="L113" s="153"/>
      <c r="N113" s="95"/>
    </row>
    <row r="114" spans="1:14" x14ac:dyDescent="0.2">
      <c r="J114" s="315" t="s">
        <v>303</v>
      </c>
      <c r="K114" s="315"/>
      <c r="L114" s="315"/>
    </row>
    <row r="115" spans="1:14" x14ac:dyDescent="0.2">
      <c r="J115" s="315" t="s">
        <v>172</v>
      </c>
      <c r="K115" s="315"/>
      <c r="L115" s="315"/>
    </row>
    <row r="116" spans="1:14" x14ac:dyDescent="0.2">
      <c r="K116" s="168"/>
      <c r="L116" s="169"/>
    </row>
    <row r="117" spans="1:14" x14ac:dyDescent="0.2">
      <c r="K117" s="168"/>
      <c r="L117" s="169"/>
    </row>
    <row r="118" spans="1:14" x14ac:dyDescent="0.2">
      <c r="K118" s="168"/>
      <c r="L118" s="169"/>
    </row>
    <row r="119" spans="1:14" x14ac:dyDescent="0.2">
      <c r="I119" s="128"/>
      <c r="J119" s="316" t="s">
        <v>206</v>
      </c>
      <c r="K119" s="316"/>
      <c r="L119" s="316"/>
    </row>
    <row r="120" spans="1:14" x14ac:dyDescent="0.2">
      <c r="I120" s="129"/>
      <c r="J120" s="317" t="s">
        <v>174</v>
      </c>
      <c r="K120" s="317"/>
      <c r="L120" s="317"/>
    </row>
    <row r="121" spans="1:14" x14ac:dyDescent="0.2">
      <c r="K121" s="153"/>
    </row>
    <row r="124" spans="1:14" x14ac:dyDescent="0.2">
      <c r="A124" s="154" t="s">
        <v>198</v>
      </c>
    </row>
    <row r="125" spans="1:14" x14ac:dyDescent="0.2">
      <c r="D125" s="155"/>
    </row>
    <row r="127" spans="1:14" x14ac:dyDescent="0.2">
      <c r="C127" s="126"/>
    </row>
  </sheetData>
  <mergeCells count="20">
    <mergeCell ref="A1:L1"/>
    <mergeCell ref="A2:L2"/>
    <mergeCell ref="A6:A8"/>
    <mergeCell ref="B6:B8"/>
    <mergeCell ref="C6:C8"/>
    <mergeCell ref="D6:D8"/>
    <mergeCell ref="E6:E8"/>
    <mergeCell ref="F6:F8"/>
    <mergeCell ref="G6:J6"/>
    <mergeCell ref="K6:K8"/>
    <mergeCell ref="G7:H7"/>
    <mergeCell ref="I7:I8"/>
    <mergeCell ref="J7:J8"/>
    <mergeCell ref="J120:L120"/>
    <mergeCell ref="L6:L8"/>
    <mergeCell ref="N7:N8"/>
    <mergeCell ref="B9:C9"/>
    <mergeCell ref="J114:L114"/>
    <mergeCell ref="J115:L115"/>
    <mergeCell ref="J119:L119"/>
  </mergeCells>
  <printOptions horizontalCentered="1"/>
  <pageMargins left="0" right="0" top="0.41" bottom="0.35" header="0.3" footer="0.3"/>
  <pageSetup paperSize="10000" scale="90" orientation="landscape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89"/>
  <sheetViews>
    <sheetView tabSelected="1" view="pageBreakPreview" topLeftCell="A6" zoomScale="108" zoomScaleNormal="120" zoomScaleSheetLayoutView="108" workbookViewId="0">
      <pane ySplit="4" topLeftCell="A73" activePane="bottomLeft" state="frozen"/>
      <selection activeCell="A6" sqref="A6"/>
      <selection pane="bottomLeft" activeCell="V6" sqref="V1:V1048576"/>
    </sheetView>
  </sheetViews>
  <sheetFormatPr defaultColWidth="9.140625" defaultRowHeight="11.25" x14ac:dyDescent="0.2"/>
  <cols>
    <col min="1" max="1" width="4" style="154" customWidth="1"/>
    <col min="2" max="2" width="16.7109375" style="1" hidden="1" customWidth="1"/>
    <col min="3" max="3" width="25.28515625" style="95" customWidth="1"/>
    <col min="4" max="4" width="17.5703125" style="266" customWidth="1"/>
    <col min="5" max="5" width="7.5703125" style="247" hidden="1" customWidth="1"/>
    <col min="6" max="6" width="7.5703125" style="154" hidden="1" customWidth="1"/>
    <col min="7" max="7" width="7.42578125" style="154" hidden="1" customWidth="1"/>
    <col min="8" max="8" width="9.85546875" style="154" hidden="1" customWidth="1"/>
    <col min="9" max="9" width="10.42578125" style="154" hidden="1" customWidth="1"/>
    <col min="10" max="10" width="15.85546875" style="265" hidden="1" customWidth="1"/>
    <col min="11" max="11" width="6.85546875" style="266" hidden="1" customWidth="1"/>
    <col min="12" max="13" width="13.85546875" style="238" hidden="1" customWidth="1"/>
    <col min="14" max="14" width="17.85546875" style="225" customWidth="1"/>
    <col min="15" max="15" width="6.140625" style="153" customWidth="1"/>
    <col min="16" max="16" width="9" style="266" customWidth="1"/>
    <col min="17" max="17" width="5.85546875" style="153" customWidth="1"/>
    <col min="18" max="18" width="16.28515625" style="154" customWidth="1"/>
    <col min="19" max="19" width="6.140625" style="154" customWidth="1"/>
    <col min="20" max="20" width="8.5703125" style="154" customWidth="1"/>
    <col min="21" max="21" width="26.5703125" style="154" customWidth="1"/>
    <col min="22" max="16384" width="9.140625" style="1"/>
  </cols>
  <sheetData>
    <row r="1" spans="1:21" ht="15" customHeight="1" x14ac:dyDescent="0.25">
      <c r="A1" s="349" t="s">
        <v>407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</row>
    <row r="2" spans="1:21" ht="15" customHeight="1" x14ac:dyDescent="0.25">
      <c r="A2" s="349" t="s">
        <v>306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</row>
    <row r="3" spans="1:21" ht="10.5" x14ac:dyDescent="0.25">
      <c r="A3" s="142"/>
      <c r="B3" s="2"/>
      <c r="C3" s="123"/>
      <c r="D3" s="255"/>
      <c r="E3" s="142"/>
      <c r="F3" s="142"/>
      <c r="G3" s="142"/>
      <c r="H3" s="142"/>
      <c r="I3" s="142"/>
      <c r="J3" s="254"/>
      <c r="K3" s="255"/>
      <c r="L3" s="232"/>
      <c r="M3" s="232"/>
      <c r="N3" s="215"/>
      <c r="O3" s="212"/>
      <c r="P3" s="255"/>
      <c r="Q3" s="212"/>
      <c r="R3" s="142"/>
      <c r="S3" s="142"/>
      <c r="T3" s="142"/>
      <c r="U3" s="142"/>
    </row>
    <row r="4" spans="1:21" ht="11.25" customHeight="1" x14ac:dyDescent="0.25">
      <c r="A4" s="364" t="s">
        <v>2</v>
      </c>
      <c r="B4" s="364"/>
      <c r="C4" s="364"/>
      <c r="D4" s="286"/>
      <c r="E4" s="142"/>
      <c r="F4" s="5"/>
      <c r="G4" s="5"/>
      <c r="H4" s="161"/>
      <c r="I4" s="162"/>
      <c r="J4" s="256"/>
      <c r="K4" s="257"/>
      <c r="L4" s="233"/>
      <c r="M4" s="233"/>
      <c r="N4" s="216"/>
      <c r="O4" s="213"/>
      <c r="P4" s="257"/>
      <c r="Q4" s="213"/>
      <c r="R4" s="365" t="s">
        <v>457</v>
      </c>
      <c r="S4" s="365"/>
      <c r="T4" s="304"/>
      <c r="U4" s="304"/>
    </row>
    <row r="5" spans="1:21" ht="11.1" thickBot="1" x14ac:dyDescent="0.3">
      <c r="A5" s="162"/>
      <c r="B5" s="7"/>
      <c r="C5" s="125"/>
      <c r="D5" s="286"/>
      <c r="E5" s="142"/>
      <c r="F5" s="143"/>
      <c r="G5" s="143"/>
      <c r="H5" s="162"/>
      <c r="I5" s="162"/>
      <c r="J5" s="258"/>
      <c r="K5" s="257"/>
      <c r="L5" s="233"/>
      <c r="M5" s="233"/>
      <c r="N5" s="217"/>
      <c r="O5" s="213"/>
      <c r="P5" s="257"/>
      <c r="Q5" s="213"/>
      <c r="R5" s="304" t="s">
        <v>411</v>
      </c>
      <c r="S5" s="164"/>
      <c r="T5" s="164"/>
      <c r="U5" s="164"/>
    </row>
    <row r="6" spans="1:21" ht="15" customHeight="1" thickBot="1" x14ac:dyDescent="0.25">
      <c r="A6" s="321" t="s">
        <v>6</v>
      </c>
      <c r="B6" s="324" t="s">
        <v>7</v>
      </c>
      <c r="C6" s="327" t="s">
        <v>8</v>
      </c>
      <c r="D6" s="366" t="s">
        <v>408</v>
      </c>
      <c r="E6" s="324" t="s">
        <v>397</v>
      </c>
      <c r="F6" s="324" t="s">
        <v>10</v>
      </c>
      <c r="G6" s="324" t="s">
        <v>11</v>
      </c>
      <c r="H6" s="330" t="s">
        <v>12</v>
      </c>
      <c r="I6" s="331"/>
      <c r="J6" s="331"/>
      <c r="K6" s="331"/>
      <c r="L6" s="331"/>
      <c r="M6" s="331"/>
      <c r="N6" s="331"/>
      <c r="O6" s="331"/>
      <c r="P6" s="363"/>
      <c r="Q6" s="321" t="s">
        <v>405</v>
      </c>
      <c r="R6" s="333" t="s">
        <v>13</v>
      </c>
      <c r="S6" s="336" t="s">
        <v>14</v>
      </c>
      <c r="T6" s="361" t="s">
        <v>412</v>
      </c>
      <c r="U6" s="362"/>
    </row>
    <row r="7" spans="1:21" ht="21" customHeight="1" x14ac:dyDescent="0.2">
      <c r="A7" s="322"/>
      <c r="B7" s="325"/>
      <c r="C7" s="328"/>
      <c r="D7" s="367"/>
      <c r="E7" s="325"/>
      <c r="F7" s="325"/>
      <c r="G7" s="325"/>
      <c r="H7" s="339" t="s">
        <v>16</v>
      </c>
      <c r="I7" s="340"/>
      <c r="J7" s="351" t="s">
        <v>450</v>
      </c>
      <c r="K7" s="352"/>
      <c r="L7" s="353" t="s">
        <v>398</v>
      </c>
      <c r="M7" s="353" t="s">
        <v>400</v>
      </c>
      <c r="N7" s="355" t="s">
        <v>399</v>
      </c>
      <c r="O7" s="298" t="s">
        <v>403</v>
      </c>
      <c r="P7" s="306" t="s">
        <v>404</v>
      </c>
      <c r="Q7" s="322"/>
      <c r="R7" s="334"/>
      <c r="S7" s="337"/>
      <c r="T7" s="357" t="s">
        <v>428</v>
      </c>
      <c r="U7" s="359" t="s">
        <v>429</v>
      </c>
    </row>
    <row r="8" spans="1:21" ht="24" customHeight="1" thickBot="1" x14ac:dyDescent="0.25">
      <c r="A8" s="323"/>
      <c r="B8" s="326"/>
      <c r="C8" s="329"/>
      <c r="D8" s="356"/>
      <c r="E8" s="326"/>
      <c r="F8" s="326"/>
      <c r="G8" s="326"/>
      <c r="H8" s="10" t="s">
        <v>19</v>
      </c>
      <c r="I8" s="10" t="s">
        <v>20</v>
      </c>
      <c r="J8" s="259" t="s">
        <v>404</v>
      </c>
      <c r="K8" s="260" t="s">
        <v>14</v>
      </c>
      <c r="L8" s="354"/>
      <c r="M8" s="354"/>
      <c r="N8" s="356"/>
      <c r="O8" s="271" t="s">
        <v>14</v>
      </c>
      <c r="P8" s="307" t="s">
        <v>14</v>
      </c>
      <c r="Q8" s="323"/>
      <c r="R8" s="335"/>
      <c r="S8" s="338"/>
      <c r="T8" s="358"/>
      <c r="U8" s="360"/>
    </row>
    <row r="9" spans="1:21" ht="15.75" hidden="1" customHeight="1" x14ac:dyDescent="0.3">
      <c r="A9" s="11">
        <v>1</v>
      </c>
      <c r="B9" s="313">
        <v>2</v>
      </c>
      <c r="C9" s="314"/>
      <c r="D9" s="218">
        <v>3</v>
      </c>
      <c r="E9" s="303"/>
      <c r="F9" s="303">
        <v>4</v>
      </c>
      <c r="G9" s="303">
        <v>5</v>
      </c>
      <c r="H9" s="303">
        <v>6</v>
      </c>
      <c r="I9" s="303" t="s">
        <v>21</v>
      </c>
      <c r="J9" s="261">
        <v>6</v>
      </c>
      <c r="K9" s="218" t="s">
        <v>21</v>
      </c>
      <c r="L9" s="234"/>
      <c r="M9" s="234"/>
      <c r="N9" s="218">
        <v>9</v>
      </c>
      <c r="O9" s="297" t="s">
        <v>22</v>
      </c>
      <c r="P9" s="308" t="s">
        <v>22</v>
      </c>
      <c r="Q9" s="11"/>
      <c r="R9" s="300" t="s">
        <v>23</v>
      </c>
      <c r="S9" s="297" t="s">
        <v>24</v>
      </c>
      <c r="T9" s="299"/>
      <c r="U9" s="299"/>
    </row>
    <row r="10" spans="1:21" s="270" customFormat="1" ht="23.45" customHeight="1" x14ac:dyDescent="0.35">
      <c r="A10" s="173"/>
      <c r="B10" s="231"/>
      <c r="C10" s="269" t="s">
        <v>25</v>
      </c>
      <c r="D10" s="222">
        <f>D14+D12</f>
        <v>20060361620</v>
      </c>
      <c r="E10" s="158"/>
      <c r="F10" s="156">
        <v>100</v>
      </c>
      <c r="G10" s="160">
        <v>100</v>
      </c>
      <c r="H10" s="156">
        <f>P10</f>
        <v>95.601445254504839</v>
      </c>
      <c r="I10" s="160">
        <f>F10*H10/100</f>
        <v>95.601445254504839</v>
      </c>
      <c r="J10" s="267">
        <f>J12+J14</f>
        <v>20060361620</v>
      </c>
      <c r="K10" s="263">
        <f t="shared" ref="K10:K74" si="0">J10/D10*100</f>
        <v>100</v>
      </c>
      <c r="L10" s="219">
        <f>L12+L14</f>
        <v>5570830954</v>
      </c>
      <c r="M10" s="219">
        <f>M12+M14</f>
        <v>1821077424</v>
      </c>
      <c r="N10" s="219">
        <f>N12+N14</f>
        <v>19177995632</v>
      </c>
      <c r="O10" s="163">
        <f>P10</f>
        <v>95.601445254504839</v>
      </c>
      <c r="P10" s="309">
        <f>N10/D10*100</f>
        <v>95.601445254504839</v>
      </c>
      <c r="Q10" s="251">
        <f>K10-P10</f>
        <v>4.3985547454951615</v>
      </c>
      <c r="R10" s="165">
        <f>R14+R12</f>
        <v>882365988</v>
      </c>
      <c r="S10" s="163">
        <f>R10/D10*100</f>
        <v>4.3985547454951615</v>
      </c>
      <c r="T10" s="292"/>
      <c r="U10" s="292"/>
    </row>
    <row r="11" spans="1:21" ht="10.5" x14ac:dyDescent="0.25">
      <c r="A11" s="172"/>
      <c r="B11" s="37"/>
      <c r="C11" s="38"/>
      <c r="D11" s="287"/>
      <c r="E11" s="244"/>
      <c r="F11" s="157"/>
      <c r="G11" s="157"/>
      <c r="H11" s="157"/>
      <c r="I11" s="157"/>
      <c r="J11" s="268"/>
      <c r="K11" s="262"/>
      <c r="L11" s="220"/>
      <c r="M11" s="220"/>
      <c r="N11" s="220"/>
      <c r="O11" s="73"/>
      <c r="P11" s="278"/>
      <c r="Q11" s="252"/>
      <c r="R11" s="165"/>
      <c r="S11" s="73"/>
      <c r="T11" s="293"/>
      <c r="U11" s="312"/>
    </row>
    <row r="12" spans="1:21" s="230" customFormat="1" ht="24.75" customHeight="1" x14ac:dyDescent="0.25">
      <c r="A12" s="173">
        <v>1</v>
      </c>
      <c r="B12" s="37" t="s">
        <v>26</v>
      </c>
      <c r="C12" s="229" t="s">
        <v>27</v>
      </c>
      <c r="D12" s="222">
        <f>D13</f>
        <v>5240767179</v>
      </c>
      <c r="E12" s="158"/>
      <c r="F12" s="156">
        <f>D12/D10*100</f>
        <v>26.124988563391611</v>
      </c>
      <c r="G12" s="156">
        <v>100</v>
      </c>
      <c r="H12" s="156">
        <f>P12</f>
        <v>96.207619739407619</v>
      </c>
      <c r="I12" s="156">
        <f>F12*H12/100</f>
        <v>25.134229654031529</v>
      </c>
      <c r="J12" s="267">
        <f>J13</f>
        <v>5240767179</v>
      </c>
      <c r="K12" s="263">
        <f t="shared" si="0"/>
        <v>100</v>
      </c>
      <c r="L12" s="219">
        <f>L13</f>
        <v>2545864953</v>
      </c>
      <c r="M12" s="219">
        <f>M13</f>
        <v>741085243</v>
      </c>
      <c r="N12" s="219">
        <f>N13</f>
        <v>5042017359</v>
      </c>
      <c r="O12" s="163">
        <f>P12</f>
        <v>96.207619739407619</v>
      </c>
      <c r="P12" s="309">
        <f>N12/D12*100</f>
        <v>96.207619739407619</v>
      </c>
      <c r="Q12" s="251">
        <f>K12-P12</f>
        <v>3.7923802605923811</v>
      </c>
      <c r="R12" s="165">
        <f t="shared" ref="R12:R74" si="1">D12-N12</f>
        <v>198749820</v>
      </c>
      <c r="S12" s="163">
        <f>S13</f>
        <v>3.7923802605923811</v>
      </c>
      <c r="T12" s="292"/>
      <c r="U12" s="292"/>
    </row>
    <row r="13" spans="1:21" ht="18" customHeight="1" x14ac:dyDescent="0.25">
      <c r="A13" s="173"/>
      <c r="B13" s="178" t="s">
        <v>28</v>
      </c>
      <c r="C13" s="188" t="s">
        <v>29</v>
      </c>
      <c r="D13" s="287">
        <v>5240767179</v>
      </c>
      <c r="E13" s="244" t="s">
        <v>401</v>
      </c>
      <c r="F13" s="157">
        <v>17.490661184813938</v>
      </c>
      <c r="G13" s="157">
        <v>100</v>
      </c>
      <c r="H13" s="157">
        <v>96.902457381452479</v>
      </c>
      <c r="I13" s="157">
        <v>16.948880500348579</v>
      </c>
      <c r="J13" s="268">
        <v>5240767179</v>
      </c>
      <c r="K13" s="262">
        <f t="shared" si="0"/>
        <v>100</v>
      </c>
      <c r="L13" s="235">
        <v>2545864953</v>
      </c>
      <c r="M13" s="235">
        <v>741085243</v>
      </c>
      <c r="N13" s="221">
        <v>5042017359</v>
      </c>
      <c r="O13" s="73">
        <f>P13</f>
        <v>96.207619739407619</v>
      </c>
      <c r="P13" s="278">
        <f>N13/D13*100</f>
        <v>96.207619739407619</v>
      </c>
      <c r="Q13" s="252">
        <f t="shared" ref="Q13:Q74" si="2">K13-P13</f>
        <v>3.7923802605923811</v>
      </c>
      <c r="R13" s="166">
        <f>D13-N13</f>
        <v>198749820</v>
      </c>
      <c r="S13" s="73">
        <f>G13-P13</f>
        <v>3.7923802605923811</v>
      </c>
      <c r="T13" s="293"/>
      <c r="U13" s="293"/>
    </row>
    <row r="14" spans="1:21" s="230" customFormat="1" ht="15.95" customHeight="1" x14ac:dyDescent="0.25">
      <c r="A14" s="173">
        <v>2</v>
      </c>
      <c r="B14" s="37" t="s">
        <v>30</v>
      </c>
      <c r="C14" s="229" t="s">
        <v>31</v>
      </c>
      <c r="D14" s="222">
        <f>+D15+D24+D27+D32+D41+D48+D59+D67</f>
        <v>14819594441</v>
      </c>
      <c r="E14" s="158"/>
      <c r="F14" s="158">
        <f>D14/D10*100</f>
        <v>73.875011436608389</v>
      </c>
      <c r="G14" s="160">
        <v>100</v>
      </c>
      <c r="H14" s="160">
        <f>P14</f>
        <v>95.387079108530102</v>
      </c>
      <c r="I14" s="158">
        <f>H14*F14/100</f>
        <v>70.467215600473295</v>
      </c>
      <c r="J14" s="222">
        <f>+J15+J24+J27+J32+J41+J48+J59+J67</f>
        <v>14819594441</v>
      </c>
      <c r="K14" s="263">
        <f t="shared" si="0"/>
        <v>100</v>
      </c>
      <c r="L14" s="222">
        <f>+L15+L24+L27+L32+L41+L48+L59+L67</f>
        <v>3024966001</v>
      </c>
      <c r="M14" s="222">
        <f>+M15+M24+M27+M32+M41+M48+M59+M67</f>
        <v>1079992181</v>
      </c>
      <c r="N14" s="222">
        <f>+N15+N24+N27+N32+N41+N48+N59+N67</f>
        <v>14135978273</v>
      </c>
      <c r="O14" s="163">
        <f>P14</f>
        <v>95.387079108530102</v>
      </c>
      <c r="P14" s="309">
        <f t="shared" ref="P14:P40" si="3">N14/D14*100</f>
        <v>95.387079108530102</v>
      </c>
      <c r="Q14" s="251">
        <f t="shared" si="2"/>
        <v>4.6129208914698978</v>
      </c>
      <c r="R14" s="165">
        <f t="shared" si="1"/>
        <v>683616168</v>
      </c>
      <c r="S14" s="163">
        <f t="shared" ref="S14:S23" si="4">R14/D14*100</f>
        <v>4.6129208914698943</v>
      </c>
      <c r="T14" s="292"/>
      <c r="U14" s="292"/>
    </row>
    <row r="15" spans="1:21" s="230" customFormat="1" ht="33.6" customHeight="1" x14ac:dyDescent="0.25">
      <c r="A15" s="173" t="s">
        <v>32</v>
      </c>
      <c r="B15" s="231" t="s">
        <v>208</v>
      </c>
      <c r="C15" s="229" t="s">
        <v>307</v>
      </c>
      <c r="D15" s="222">
        <f>SUM(D16:D23)</f>
        <v>3752127848</v>
      </c>
      <c r="E15" s="158"/>
      <c r="F15" s="156">
        <f>D15/D14*100</f>
        <v>25.318694536061898</v>
      </c>
      <c r="G15" s="156">
        <f>AVERAGE(G16:G23)</f>
        <v>100</v>
      </c>
      <c r="H15" s="156">
        <f>P15</f>
        <v>92.958978939355163</v>
      </c>
      <c r="I15" s="156">
        <f>H15*F15/100</f>
        <v>23.535999921497446</v>
      </c>
      <c r="J15" s="222">
        <f>SUM(J16:J23)</f>
        <v>3752127848</v>
      </c>
      <c r="K15" s="263">
        <f t="shared" si="0"/>
        <v>100</v>
      </c>
      <c r="L15" s="223">
        <f>SUM(L16:L23)</f>
        <v>1060324122</v>
      </c>
      <c r="M15" s="223">
        <f>SUM(M16:M23)</f>
        <v>362988725</v>
      </c>
      <c r="N15" s="222">
        <f>SUM(N16:N23)</f>
        <v>3487939736</v>
      </c>
      <c r="O15" s="163">
        <f>P15</f>
        <v>92.958978939355163</v>
      </c>
      <c r="P15" s="309">
        <f t="shared" si="3"/>
        <v>92.958978939355163</v>
      </c>
      <c r="Q15" s="251">
        <f t="shared" si="2"/>
        <v>7.0410210606448373</v>
      </c>
      <c r="R15" s="165">
        <f t="shared" si="1"/>
        <v>264188112</v>
      </c>
      <c r="S15" s="163">
        <f t="shared" si="4"/>
        <v>7.0410210606448391</v>
      </c>
      <c r="T15" s="292"/>
      <c r="U15" s="292"/>
    </row>
    <row r="16" spans="1:21" ht="26.1" customHeight="1" x14ac:dyDescent="0.25">
      <c r="A16" s="174"/>
      <c r="B16" s="178" t="s">
        <v>207</v>
      </c>
      <c r="C16" s="188" t="s">
        <v>392</v>
      </c>
      <c r="D16" s="224">
        <v>1160200000</v>
      </c>
      <c r="E16" s="244" t="s">
        <v>401</v>
      </c>
      <c r="F16" s="157">
        <f>D16/D15*100</f>
        <v>30.921121214417642</v>
      </c>
      <c r="G16" s="157">
        <v>100</v>
      </c>
      <c r="H16" s="157">
        <f t="shared" ref="H16:H74" si="5">P16</f>
        <v>87.275951129115668</v>
      </c>
      <c r="I16" s="157">
        <f>H16*F16/100</f>
        <v>26.986702639669758</v>
      </c>
      <c r="J16" s="224">
        <v>1160200000</v>
      </c>
      <c r="K16" s="262">
        <f t="shared" si="0"/>
        <v>100</v>
      </c>
      <c r="L16" s="235">
        <v>465902860</v>
      </c>
      <c r="M16" s="235">
        <v>100057825</v>
      </c>
      <c r="N16" s="221">
        <v>1012575585</v>
      </c>
      <c r="O16" s="272">
        <f>P16</f>
        <v>87.275951129115668</v>
      </c>
      <c r="P16" s="278">
        <f t="shared" si="3"/>
        <v>87.275951129115668</v>
      </c>
      <c r="Q16" s="252">
        <f t="shared" si="2"/>
        <v>12.724048870884332</v>
      </c>
      <c r="R16" s="166">
        <f t="shared" si="1"/>
        <v>147624415</v>
      </c>
      <c r="S16" s="73">
        <f t="shared" si="4"/>
        <v>12.72404887088433</v>
      </c>
      <c r="T16" s="293"/>
      <c r="U16" s="293" t="s">
        <v>459</v>
      </c>
    </row>
    <row r="17" spans="1:21" ht="24" customHeight="1" x14ac:dyDescent="0.25">
      <c r="A17" s="174"/>
      <c r="B17" s="178" t="s">
        <v>209</v>
      </c>
      <c r="C17" s="47" t="s">
        <v>308</v>
      </c>
      <c r="D17" s="224">
        <v>513036000</v>
      </c>
      <c r="E17" s="244" t="s">
        <v>401</v>
      </c>
      <c r="F17" s="157">
        <f>D17/D15*100</f>
        <v>13.673201468160634</v>
      </c>
      <c r="G17" s="157">
        <v>100</v>
      </c>
      <c r="H17" s="157">
        <f t="shared" si="5"/>
        <v>96.513087775516723</v>
      </c>
      <c r="I17" s="157">
        <f t="shared" ref="I17:I74" si="6">H17*F17/100</f>
        <v>13.196428934689116</v>
      </c>
      <c r="J17" s="224">
        <v>513036000</v>
      </c>
      <c r="K17" s="262">
        <f t="shared" si="0"/>
        <v>100</v>
      </c>
      <c r="L17" s="235">
        <v>0</v>
      </c>
      <c r="M17" s="235">
        <v>68940000</v>
      </c>
      <c r="N17" s="221">
        <v>495146885</v>
      </c>
      <c r="O17" s="73">
        <f t="shared" ref="O17:O47" si="7">P17</f>
        <v>96.513087775516723</v>
      </c>
      <c r="P17" s="278">
        <f t="shared" si="3"/>
        <v>96.513087775516723</v>
      </c>
      <c r="Q17" s="252">
        <f t="shared" si="2"/>
        <v>3.4869122244832766</v>
      </c>
      <c r="R17" s="166">
        <f t="shared" si="1"/>
        <v>17889115</v>
      </c>
      <c r="S17" s="73">
        <f t="shared" si="4"/>
        <v>3.4869122244832718</v>
      </c>
      <c r="T17" s="293"/>
      <c r="U17" s="293" t="s">
        <v>460</v>
      </c>
    </row>
    <row r="18" spans="1:21" ht="27" customHeight="1" x14ac:dyDescent="0.25">
      <c r="A18" s="174"/>
      <c r="B18" s="178" t="s">
        <v>309</v>
      </c>
      <c r="C18" s="188" t="s">
        <v>310</v>
      </c>
      <c r="D18" s="288">
        <v>831036000</v>
      </c>
      <c r="E18" s="244" t="s">
        <v>401</v>
      </c>
      <c r="F18" s="157">
        <f>D18/D15*100</f>
        <v>22.148392423327682</v>
      </c>
      <c r="G18" s="157">
        <v>100</v>
      </c>
      <c r="H18" s="157">
        <f t="shared" si="5"/>
        <v>90.671204376224381</v>
      </c>
      <c r="I18" s="157">
        <f t="shared" si="6"/>
        <v>20.082214160203637</v>
      </c>
      <c r="J18" s="288">
        <v>831036000</v>
      </c>
      <c r="K18" s="262">
        <f t="shared" si="0"/>
        <v>100</v>
      </c>
      <c r="L18" s="235">
        <v>284644700</v>
      </c>
      <c r="M18" s="235">
        <v>113423000</v>
      </c>
      <c r="N18" s="221">
        <v>753510350</v>
      </c>
      <c r="O18" s="73">
        <f t="shared" si="7"/>
        <v>90.671204376224381</v>
      </c>
      <c r="P18" s="278">
        <f t="shared" si="3"/>
        <v>90.671204376224381</v>
      </c>
      <c r="Q18" s="252">
        <f t="shared" si="2"/>
        <v>9.3287956237756191</v>
      </c>
      <c r="R18" s="166">
        <f t="shared" si="1"/>
        <v>77525650</v>
      </c>
      <c r="S18" s="73">
        <f t="shared" si="4"/>
        <v>9.3287956237756244</v>
      </c>
      <c r="T18" s="293"/>
      <c r="U18" s="293" t="s">
        <v>461</v>
      </c>
    </row>
    <row r="19" spans="1:21" ht="24.75" customHeight="1" x14ac:dyDescent="0.25">
      <c r="A19" s="174"/>
      <c r="B19" s="178" t="s">
        <v>311</v>
      </c>
      <c r="C19" s="188" t="s">
        <v>312</v>
      </c>
      <c r="D19" s="288">
        <v>194200000</v>
      </c>
      <c r="E19" s="244" t="s">
        <v>401</v>
      </c>
      <c r="F19" s="157">
        <f>D19/D15*100</f>
        <v>5.1757298223064172</v>
      </c>
      <c r="G19" s="157">
        <v>100</v>
      </c>
      <c r="H19" s="157">
        <f t="shared" si="5"/>
        <v>90.9721421215242</v>
      </c>
      <c r="I19" s="157">
        <f t="shared" si="6"/>
        <v>4.708472289774706</v>
      </c>
      <c r="J19" s="288">
        <v>194200000</v>
      </c>
      <c r="K19" s="262">
        <f t="shared" si="0"/>
        <v>100</v>
      </c>
      <c r="L19" s="235">
        <v>5170000</v>
      </c>
      <c r="M19" s="235">
        <v>68217900</v>
      </c>
      <c r="N19" s="221">
        <v>176667900</v>
      </c>
      <c r="O19" s="73">
        <f t="shared" si="7"/>
        <v>90.9721421215242</v>
      </c>
      <c r="P19" s="278">
        <f t="shared" si="3"/>
        <v>90.9721421215242</v>
      </c>
      <c r="Q19" s="252">
        <f t="shared" si="2"/>
        <v>9.0278578784757997</v>
      </c>
      <c r="R19" s="166">
        <f t="shared" si="1"/>
        <v>17532100</v>
      </c>
      <c r="S19" s="73">
        <f t="shared" si="4"/>
        <v>9.0278578784757979</v>
      </c>
      <c r="T19" s="293"/>
      <c r="U19" s="293" t="s">
        <v>462</v>
      </c>
    </row>
    <row r="20" spans="1:21" ht="27.75" customHeight="1" x14ac:dyDescent="0.25">
      <c r="A20" s="174"/>
      <c r="B20" s="178" t="s">
        <v>212</v>
      </c>
      <c r="C20" s="188" t="s">
        <v>313</v>
      </c>
      <c r="D20" s="288">
        <v>342000000</v>
      </c>
      <c r="E20" s="244" t="s">
        <v>401</v>
      </c>
      <c r="F20" s="157">
        <f>D20/D15*100</f>
        <v>9.1148280083872013</v>
      </c>
      <c r="G20" s="157">
        <v>100</v>
      </c>
      <c r="H20" s="157">
        <f t="shared" si="5"/>
        <v>99.241637426900581</v>
      </c>
      <c r="I20" s="157">
        <f t="shared" si="6"/>
        <v>9.0457045641692098</v>
      </c>
      <c r="J20" s="288">
        <v>342000000</v>
      </c>
      <c r="K20" s="262">
        <f t="shared" si="0"/>
        <v>100</v>
      </c>
      <c r="L20" s="235">
        <v>86200000</v>
      </c>
      <c r="M20" s="235">
        <v>7300000</v>
      </c>
      <c r="N20" s="221">
        <v>339406400</v>
      </c>
      <c r="O20" s="73">
        <f t="shared" si="7"/>
        <v>99.241637426900581</v>
      </c>
      <c r="P20" s="278">
        <f>N20/D20*100</f>
        <v>99.241637426900581</v>
      </c>
      <c r="Q20" s="252">
        <f t="shared" si="2"/>
        <v>0.75836257309941857</v>
      </c>
      <c r="R20" s="166">
        <f t="shared" si="1"/>
        <v>2593600</v>
      </c>
      <c r="S20" s="73">
        <f t="shared" si="4"/>
        <v>0.75836257309941524</v>
      </c>
      <c r="T20" s="293"/>
      <c r="U20" s="293" t="s">
        <v>463</v>
      </c>
    </row>
    <row r="21" spans="1:21" ht="24.75" customHeight="1" x14ac:dyDescent="0.25">
      <c r="A21" s="174"/>
      <c r="B21" s="178" t="s">
        <v>314</v>
      </c>
      <c r="C21" s="188" t="s">
        <v>197</v>
      </c>
      <c r="D21" s="288">
        <v>75000000</v>
      </c>
      <c r="E21" s="244" t="s">
        <v>401</v>
      </c>
      <c r="F21" s="157">
        <f>D21/D14*100</f>
        <v>0.50608672388837062</v>
      </c>
      <c r="G21" s="157">
        <v>100</v>
      </c>
      <c r="H21" s="157">
        <f t="shared" si="5"/>
        <v>98.729333333333329</v>
      </c>
      <c r="I21" s="157">
        <f t="shared" si="6"/>
        <v>0.49965604858349572</v>
      </c>
      <c r="J21" s="288">
        <v>75000000</v>
      </c>
      <c r="K21" s="262">
        <f t="shared" si="0"/>
        <v>100</v>
      </c>
      <c r="L21" s="235">
        <v>19559000</v>
      </c>
      <c r="M21" s="235">
        <v>5050000</v>
      </c>
      <c r="N21" s="221">
        <v>74047000</v>
      </c>
      <c r="O21" s="73">
        <f t="shared" si="7"/>
        <v>98.729333333333329</v>
      </c>
      <c r="P21" s="278">
        <f>N21/D21*100</f>
        <v>98.729333333333329</v>
      </c>
      <c r="Q21" s="252">
        <f t="shared" si="2"/>
        <v>1.2706666666666706</v>
      </c>
      <c r="R21" s="166">
        <f t="shared" si="1"/>
        <v>953000</v>
      </c>
      <c r="S21" s="73">
        <f t="shared" si="4"/>
        <v>1.2706666666666666</v>
      </c>
      <c r="T21" s="293"/>
      <c r="U21" s="293" t="s">
        <v>464</v>
      </c>
    </row>
    <row r="22" spans="1:21" ht="10.5" x14ac:dyDescent="0.25">
      <c r="A22" s="174"/>
      <c r="B22" s="178" t="s">
        <v>211</v>
      </c>
      <c r="C22" s="188" t="s">
        <v>315</v>
      </c>
      <c r="D22" s="288">
        <v>100000000</v>
      </c>
      <c r="E22" s="244" t="s">
        <v>401</v>
      </c>
      <c r="F22" s="157">
        <f>D22/D15*100</f>
        <v>2.6651543884173106</v>
      </c>
      <c r="G22" s="157">
        <v>100</v>
      </c>
      <c r="H22" s="157">
        <f t="shared" si="5"/>
        <v>100</v>
      </c>
      <c r="I22" s="157">
        <f t="shared" si="6"/>
        <v>2.6651543884173106</v>
      </c>
      <c r="J22" s="288">
        <v>100000000</v>
      </c>
      <c r="K22" s="262">
        <f t="shared" si="0"/>
        <v>100</v>
      </c>
      <c r="L22" s="235">
        <v>49500000</v>
      </c>
      <c r="M22" s="235"/>
      <c r="N22" s="221">
        <v>100000000</v>
      </c>
      <c r="O22" s="73">
        <f t="shared" si="7"/>
        <v>100</v>
      </c>
      <c r="P22" s="278">
        <f t="shared" si="3"/>
        <v>100</v>
      </c>
      <c r="Q22" s="252">
        <f t="shared" si="2"/>
        <v>0</v>
      </c>
      <c r="R22" s="166">
        <f t="shared" si="1"/>
        <v>0</v>
      </c>
      <c r="S22" s="73">
        <f t="shared" si="4"/>
        <v>0</v>
      </c>
      <c r="T22" s="293"/>
      <c r="U22" s="293" t="s">
        <v>465</v>
      </c>
    </row>
    <row r="23" spans="1:21" ht="30" x14ac:dyDescent="0.25">
      <c r="A23" s="174"/>
      <c r="B23" s="178" t="s">
        <v>212</v>
      </c>
      <c r="C23" s="47" t="s">
        <v>316</v>
      </c>
      <c r="D23" s="288">
        <v>536655848</v>
      </c>
      <c r="E23" s="244" t="s">
        <v>401</v>
      </c>
      <c r="F23" s="157">
        <f>D23/D15*100</f>
        <v>14.302706883670133</v>
      </c>
      <c r="G23" s="157">
        <v>100</v>
      </c>
      <c r="H23" s="157">
        <f t="shared" si="5"/>
        <v>99.986913028105121</v>
      </c>
      <c r="I23" s="157">
        <f t="shared" si="6"/>
        <v>14.30083509244006</v>
      </c>
      <c r="J23" s="288">
        <v>536655848</v>
      </c>
      <c r="K23" s="262">
        <f t="shared" si="0"/>
        <v>100</v>
      </c>
      <c r="L23" s="235">
        <v>149347562</v>
      </c>
      <c r="M23" s="235"/>
      <c r="N23" s="221">
        <v>536585616</v>
      </c>
      <c r="O23" s="73">
        <f t="shared" si="7"/>
        <v>99.986913028105121</v>
      </c>
      <c r="P23" s="278">
        <f t="shared" si="3"/>
        <v>99.986913028105121</v>
      </c>
      <c r="Q23" s="252">
        <f t="shared" si="2"/>
        <v>1.3086971894878729E-2</v>
      </c>
      <c r="R23" s="166">
        <f t="shared" si="1"/>
        <v>70232</v>
      </c>
      <c r="S23" s="73">
        <f t="shared" si="4"/>
        <v>1.3086971894881876E-2</v>
      </c>
      <c r="T23" s="293"/>
      <c r="U23" s="293" t="s">
        <v>466</v>
      </c>
    </row>
    <row r="24" spans="1:21" s="230" customFormat="1" ht="24.95" customHeight="1" x14ac:dyDescent="0.25">
      <c r="A24" s="173" t="s">
        <v>54</v>
      </c>
      <c r="B24" s="239" t="s">
        <v>218</v>
      </c>
      <c r="C24" s="38" t="s">
        <v>317</v>
      </c>
      <c r="D24" s="264">
        <f>SUM(D25:D26)</f>
        <v>60000000</v>
      </c>
      <c r="E24" s="245"/>
      <c r="F24" s="156">
        <f>D24/D14*100</f>
        <v>0.40486937911069654</v>
      </c>
      <c r="G24" s="156">
        <v>100</v>
      </c>
      <c r="H24" s="156">
        <f t="shared" si="5"/>
        <v>95.081666666666663</v>
      </c>
      <c r="I24" s="156">
        <f t="shared" si="6"/>
        <v>0.38495655348143543</v>
      </c>
      <c r="J24" s="264">
        <f>SUM(J25:J26)</f>
        <v>60000000</v>
      </c>
      <c r="K24" s="263">
        <f t="shared" si="0"/>
        <v>100</v>
      </c>
      <c r="L24" s="223">
        <f>SUM(L25:L26)</f>
        <v>13126000</v>
      </c>
      <c r="M24" s="223">
        <f>SUM(M25:M26)</f>
        <v>0</v>
      </c>
      <c r="N24" s="223">
        <f>SUM(N25:N26)</f>
        <v>57049000</v>
      </c>
      <c r="O24" s="163">
        <f>P24</f>
        <v>95.081666666666663</v>
      </c>
      <c r="P24" s="309">
        <f t="shared" si="3"/>
        <v>95.081666666666663</v>
      </c>
      <c r="Q24" s="251">
        <f t="shared" si="2"/>
        <v>4.9183333333333366</v>
      </c>
      <c r="R24" s="165">
        <f>D24-N24</f>
        <v>2951000</v>
      </c>
      <c r="S24" s="163">
        <f>R24/D24*100</f>
        <v>4.9183333333333339</v>
      </c>
      <c r="T24" s="292"/>
      <c r="U24" s="292"/>
    </row>
    <row r="25" spans="1:21" ht="30.6" customHeight="1" x14ac:dyDescent="0.25">
      <c r="A25" s="174"/>
      <c r="B25" s="203" t="s">
        <v>318</v>
      </c>
      <c r="C25" s="188" t="s">
        <v>319</v>
      </c>
      <c r="D25" s="288">
        <v>40000000</v>
      </c>
      <c r="E25" s="244" t="s">
        <v>401</v>
      </c>
      <c r="F25" s="157">
        <f>D25/D24*100</f>
        <v>66.666666666666657</v>
      </c>
      <c r="G25" s="157">
        <v>100</v>
      </c>
      <c r="H25" s="157">
        <f t="shared" si="5"/>
        <v>96.207499999999996</v>
      </c>
      <c r="I25" s="157">
        <f t="shared" si="6"/>
        <v>64.138333333333321</v>
      </c>
      <c r="J25" s="288">
        <v>40000000</v>
      </c>
      <c r="K25" s="262">
        <f t="shared" si="0"/>
        <v>100</v>
      </c>
      <c r="L25" s="235"/>
      <c r="M25" s="235"/>
      <c r="N25" s="221">
        <v>38483000</v>
      </c>
      <c r="O25" s="73">
        <f t="shared" si="7"/>
        <v>96.207499999999996</v>
      </c>
      <c r="P25" s="278">
        <f t="shared" si="3"/>
        <v>96.207499999999996</v>
      </c>
      <c r="Q25" s="252">
        <f t="shared" si="2"/>
        <v>3.792500000000004</v>
      </c>
      <c r="R25" s="166">
        <f t="shared" si="1"/>
        <v>1517000</v>
      </c>
      <c r="S25" s="73">
        <f>R25/D25*100</f>
        <v>3.7925</v>
      </c>
      <c r="T25" s="293">
        <v>100</v>
      </c>
      <c r="U25" s="293" t="s">
        <v>468</v>
      </c>
    </row>
    <row r="26" spans="1:21" ht="30" customHeight="1" x14ac:dyDescent="0.25">
      <c r="A26" s="174"/>
      <c r="B26" s="178" t="s">
        <v>320</v>
      </c>
      <c r="C26" s="188" t="s">
        <v>395</v>
      </c>
      <c r="D26" s="288">
        <v>20000000</v>
      </c>
      <c r="E26" s="244" t="s">
        <v>401</v>
      </c>
      <c r="F26" s="157">
        <f>D26/D24*100</f>
        <v>33.333333333333329</v>
      </c>
      <c r="G26" s="157">
        <v>100</v>
      </c>
      <c r="H26" s="157">
        <f t="shared" si="5"/>
        <v>92.83</v>
      </c>
      <c r="I26" s="157">
        <f t="shared" si="6"/>
        <v>30.943333333333332</v>
      </c>
      <c r="J26" s="288">
        <v>20000000</v>
      </c>
      <c r="K26" s="262">
        <f t="shared" si="0"/>
        <v>100</v>
      </c>
      <c r="L26" s="235">
        <v>13126000</v>
      </c>
      <c r="M26" s="235"/>
      <c r="N26" s="221">
        <v>18566000</v>
      </c>
      <c r="O26" s="73">
        <f t="shared" si="7"/>
        <v>92.83</v>
      </c>
      <c r="P26" s="278">
        <f t="shared" si="3"/>
        <v>92.83</v>
      </c>
      <c r="Q26" s="252">
        <f t="shared" si="2"/>
        <v>7.1700000000000017</v>
      </c>
      <c r="R26" s="166">
        <f t="shared" si="1"/>
        <v>1434000</v>
      </c>
      <c r="S26" s="73">
        <f>R26/D26*100</f>
        <v>7.17</v>
      </c>
      <c r="T26" s="293">
        <v>100</v>
      </c>
      <c r="U26" s="293" t="s">
        <v>467</v>
      </c>
    </row>
    <row r="27" spans="1:21" s="230" customFormat="1" ht="33" customHeight="1" x14ac:dyDescent="0.25">
      <c r="A27" s="173" t="s">
        <v>72</v>
      </c>
      <c r="B27" s="239" t="s">
        <v>226</v>
      </c>
      <c r="C27" s="229" t="s">
        <v>402</v>
      </c>
      <c r="D27" s="222">
        <f>SUM(D28:D31)</f>
        <v>499550000</v>
      </c>
      <c r="E27" s="158"/>
      <c r="F27" s="156">
        <f>D27/D14*100</f>
        <v>3.3708749722458076</v>
      </c>
      <c r="G27" s="156">
        <f>AVERAGE(G28:G30)</f>
        <v>100</v>
      </c>
      <c r="H27" s="156">
        <f t="shared" si="5"/>
        <v>98.378772295065559</v>
      </c>
      <c r="I27" s="156">
        <f t="shared" si="6"/>
        <v>3.3162254132970572</v>
      </c>
      <c r="J27" s="222">
        <f>SUM(J28:J31)</f>
        <v>499550000</v>
      </c>
      <c r="K27" s="263">
        <f t="shared" si="0"/>
        <v>100</v>
      </c>
      <c r="L27" s="223">
        <f>SUM(L28:L31)</f>
        <v>107719000</v>
      </c>
      <c r="M27" s="223">
        <f>SUM(M28:M31)</f>
        <v>70374758</v>
      </c>
      <c r="N27" s="222">
        <f>SUM(N28:N31)</f>
        <v>491451157</v>
      </c>
      <c r="O27" s="163">
        <f>P27</f>
        <v>98.378772295065559</v>
      </c>
      <c r="P27" s="309">
        <f t="shared" si="3"/>
        <v>98.378772295065559</v>
      </c>
      <c r="Q27" s="251">
        <f t="shared" si="2"/>
        <v>1.6212277049344408</v>
      </c>
      <c r="R27" s="165">
        <f t="shared" si="1"/>
        <v>8098843</v>
      </c>
      <c r="S27" s="163">
        <f t="shared" ref="S27:S74" si="8">R27/D27*100</f>
        <v>1.621227704934441</v>
      </c>
      <c r="T27" s="292"/>
      <c r="U27" s="292"/>
    </row>
    <row r="28" spans="1:21" ht="26.45" customHeight="1" x14ac:dyDescent="0.25">
      <c r="A28" s="174"/>
      <c r="B28" s="178" t="s">
        <v>321</v>
      </c>
      <c r="C28" s="188" t="s">
        <v>322</v>
      </c>
      <c r="D28" s="288">
        <v>145450000</v>
      </c>
      <c r="E28" s="244" t="s">
        <v>401</v>
      </c>
      <c r="F28" s="157">
        <f>D28/D27*100</f>
        <v>29.116204584125715</v>
      </c>
      <c r="G28" s="157">
        <v>100</v>
      </c>
      <c r="H28" s="157">
        <f t="shared" si="5"/>
        <v>96.43400343760743</v>
      </c>
      <c r="I28" s="157">
        <f t="shared" si="6"/>
        <v>28.077921729556607</v>
      </c>
      <c r="J28" s="288">
        <v>145450000</v>
      </c>
      <c r="K28" s="262">
        <f t="shared" si="0"/>
        <v>100</v>
      </c>
      <c r="L28" s="235">
        <v>50819000</v>
      </c>
      <c r="M28" s="235">
        <v>61024758</v>
      </c>
      <c r="N28" s="221">
        <v>140263258</v>
      </c>
      <c r="O28" s="73">
        <f t="shared" si="7"/>
        <v>96.43400343760743</v>
      </c>
      <c r="P28" s="278">
        <f t="shared" si="3"/>
        <v>96.43400343760743</v>
      </c>
      <c r="Q28" s="252">
        <f>K28-P28</f>
        <v>3.56599656239257</v>
      </c>
      <c r="R28" s="166">
        <f t="shared" si="1"/>
        <v>5186742</v>
      </c>
      <c r="S28" s="73">
        <f t="shared" si="8"/>
        <v>3.5659965623925745</v>
      </c>
      <c r="T28" s="293">
        <v>100</v>
      </c>
      <c r="U28" s="293" t="s">
        <v>451</v>
      </c>
    </row>
    <row r="29" spans="1:21" ht="30" customHeight="1" x14ac:dyDescent="0.25">
      <c r="A29" s="174"/>
      <c r="B29" s="178" t="s">
        <v>227</v>
      </c>
      <c r="C29" s="188" t="s">
        <v>323</v>
      </c>
      <c r="D29" s="288">
        <v>56200000</v>
      </c>
      <c r="E29" s="244" t="s">
        <v>401</v>
      </c>
      <c r="F29" s="157">
        <f>D29/D27*100</f>
        <v>11.250125112601342</v>
      </c>
      <c r="G29" s="157">
        <v>100</v>
      </c>
      <c r="H29" s="157">
        <f t="shared" si="5"/>
        <v>95.195729537366546</v>
      </c>
      <c r="I29" s="157">
        <f t="shared" si="6"/>
        <v>10.709638674807326</v>
      </c>
      <c r="J29" s="288">
        <v>56200000</v>
      </c>
      <c r="K29" s="262">
        <f t="shared" si="0"/>
        <v>100</v>
      </c>
      <c r="L29" s="235"/>
      <c r="M29" s="235"/>
      <c r="N29" s="221">
        <v>53500000</v>
      </c>
      <c r="O29" s="73">
        <f t="shared" si="7"/>
        <v>95.195729537366546</v>
      </c>
      <c r="P29" s="278">
        <f t="shared" si="3"/>
        <v>95.195729537366546</v>
      </c>
      <c r="Q29" s="252">
        <f t="shared" si="2"/>
        <v>4.804270462633454</v>
      </c>
      <c r="R29" s="166">
        <f t="shared" si="1"/>
        <v>2700000</v>
      </c>
      <c r="S29" s="73">
        <f t="shared" si="8"/>
        <v>4.8042704626334514</v>
      </c>
      <c r="T29" s="293">
        <v>100</v>
      </c>
      <c r="U29" s="293" t="s">
        <v>452</v>
      </c>
    </row>
    <row r="30" spans="1:21" ht="25.5" customHeight="1" x14ac:dyDescent="0.25">
      <c r="A30" s="174"/>
      <c r="B30" s="178" t="s">
        <v>324</v>
      </c>
      <c r="C30" s="188" t="s">
        <v>325</v>
      </c>
      <c r="D30" s="288">
        <v>147900000</v>
      </c>
      <c r="E30" s="244" t="s">
        <v>401</v>
      </c>
      <c r="F30" s="157">
        <f>D30/D27*100</f>
        <v>29.606645981383245</v>
      </c>
      <c r="G30" s="157">
        <v>100</v>
      </c>
      <c r="H30" s="157">
        <f t="shared" si="5"/>
        <v>99.888369844489517</v>
      </c>
      <c r="I30" s="157">
        <f t="shared" si="6"/>
        <v>29.573596036432789</v>
      </c>
      <c r="J30" s="288">
        <v>147900000</v>
      </c>
      <c r="K30" s="262">
        <f t="shared" si="0"/>
        <v>100</v>
      </c>
      <c r="L30" s="235">
        <v>56900000</v>
      </c>
      <c r="M30" s="235">
        <v>9350000</v>
      </c>
      <c r="N30" s="221">
        <v>147734899</v>
      </c>
      <c r="O30" s="73">
        <f t="shared" si="7"/>
        <v>99.888369844489517</v>
      </c>
      <c r="P30" s="278">
        <f t="shared" si="3"/>
        <v>99.888369844489517</v>
      </c>
      <c r="Q30" s="252">
        <f t="shared" si="2"/>
        <v>0.11163015551048261</v>
      </c>
      <c r="R30" s="166">
        <f t="shared" si="1"/>
        <v>165101</v>
      </c>
      <c r="S30" s="73">
        <f t="shared" si="8"/>
        <v>0.11163015551048006</v>
      </c>
      <c r="T30" s="293">
        <v>100</v>
      </c>
      <c r="U30" s="293" t="s">
        <v>453</v>
      </c>
    </row>
    <row r="31" spans="1:21" ht="27.95" customHeight="1" x14ac:dyDescent="0.25">
      <c r="A31" s="174"/>
      <c r="B31" s="178" t="s">
        <v>228</v>
      </c>
      <c r="C31" s="188" t="s">
        <v>326</v>
      </c>
      <c r="D31" s="288">
        <v>150000000</v>
      </c>
      <c r="E31" s="244" t="s">
        <v>401</v>
      </c>
      <c r="F31" s="157">
        <f>D31/D27*100</f>
        <v>30.027024321889701</v>
      </c>
      <c r="G31" s="157">
        <v>100</v>
      </c>
      <c r="H31" s="157">
        <f t="shared" si="5"/>
        <v>99.968666666666664</v>
      </c>
      <c r="I31" s="157">
        <f t="shared" si="6"/>
        <v>30.017615854268843</v>
      </c>
      <c r="J31" s="288">
        <v>150000000</v>
      </c>
      <c r="K31" s="262">
        <f t="shared" si="0"/>
        <v>100</v>
      </c>
      <c r="L31" s="235"/>
      <c r="M31" s="235"/>
      <c r="N31" s="221">
        <v>149953000</v>
      </c>
      <c r="O31" s="73">
        <f t="shared" si="7"/>
        <v>99.968666666666664</v>
      </c>
      <c r="P31" s="278">
        <f t="shared" si="3"/>
        <v>99.968666666666664</v>
      </c>
      <c r="Q31" s="252">
        <f t="shared" si="2"/>
        <v>3.13333333333361E-2</v>
      </c>
      <c r="R31" s="166">
        <f t="shared" si="1"/>
        <v>47000</v>
      </c>
      <c r="S31" s="73">
        <f t="shared" si="8"/>
        <v>3.1333333333333331E-2</v>
      </c>
      <c r="T31" s="293">
        <v>100</v>
      </c>
      <c r="U31" s="293" t="s">
        <v>454</v>
      </c>
    </row>
    <row r="32" spans="1:21" s="230" customFormat="1" ht="26.45" customHeight="1" x14ac:dyDescent="0.25">
      <c r="A32" s="173" t="s">
        <v>79</v>
      </c>
      <c r="B32" s="239" t="s">
        <v>327</v>
      </c>
      <c r="C32" s="229" t="s">
        <v>328</v>
      </c>
      <c r="D32" s="222">
        <f>SUM(D33:D40)</f>
        <v>2441990000</v>
      </c>
      <c r="E32" s="158"/>
      <c r="F32" s="156">
        <f>D32/D14*100</f>
        <v>16.478116251575496</v>
      </c>
      <c r="G32" s="156">
        <f>AVERAGE(G33)</f>
        <v>100</v>
      </c>
      <c r="H32" s="156">
        <f t="shared" si="5"/>
        <v>96.443989041724166</v>
      </c>
      <c r="I32" s="156">
        <f t="shared" si="6"/>
        <v>15.89215263195204</v>
      </c>
      <c r="J32" s="222">
        <f>SUM(J33:J40)</f>
        <v>2441990000</v>
      </c>
      <c r="K32" s="263">
        <f t="shared" si="0"/>
        <v>100</v>
      </c>
      <c r="L32" s="223">
        <f>SUM(L33:L39)</f>
        <v>130165318</v>
      </c>
      <c r="M32" s="223">
        <f>SUM(M33:M39)</f>
        <v>125286750</v>
      </c>
      <c r="N32" s="222">
        <f>SUM(N33:N40)</f>
        <v>2355152568</v>
      </c>
      <c r="O32" s="163">
        <f>P32</f>
        <v>96.443989041724166</v>
      </c>
      <c r="P32" s="309">
        <f t="shared" si="3"/>
        <v>96.443989041724166</v>
      </c>
      <c r="Q32" s="251">
        <f t="shared" si="2"/>
        <v>3.5560109582758344</v>
      </c>
      <c r="R32" s="165">
        <f>D32-N32</f>
        <v>86837432</v>
      </c>
      <c r="S32" s="163">
        <f t="shared" si="8"/>
        <v>3.5560109582758326</v>
      </c>
      <c r="T32" s="292"/>
      <c r="U32" s="292"/>
    </row>
    <row r="33" spans="1:21" ht="44.1" customHeight="1" x14ac:dyDescent="0.2">
      <c r="A33" s="174"/>
      <c r="B33" s="203" t="s">
        <v>329</v>
      </c>
      <c r="C33" s="188" t="s">
        <v>300</v>
      </c>
      <c r="D33" s="289">
        <v>0</v>
      </c>
      <c r="E33" s="244" t="s">
        <v>401</v>
      </c>
      <c r="F33" s="157">
        <f>D33/D32*100</f>
        <v>0</v>
      </c>
      <c r="G33" s="157">
        <v>100</v>
      </c>
      <c r="H33" s="157">
        <f t="shared" si="5"/>
        <v>0</v>
      </c>
      <c r="I33" s="157">
        <f t="shared" si="6"/>
        <v>0</v>
      </c>
      <c r="J33" s="289">
        <v>0</v>
      </c>
      <c r="K33" s="262" t="e">
        <f t="shared" si="0"/>
        <v>#DIV/0!</v>
      </c>
      <c r="L33" s="235"/>
      <c r="M33" s="235"/>
      <c r="N33" s="221">
        <f t="shared" ref="N33" si="9">L33+M33</f>
        <v>0</v>
      </c>
      <c r="O33" s="73">
        <f t="shared" si="7"/>
        <v>0</v>
      </c>
      <c r="P33" s="278"/>
      <c r="Q33" s="252"/>
      <c r="R33" s="166">
        <f t="shared" si="1"/>
        <v>0</v>
      </c>
      <c r="S33" s="73"/>
      <c r="T33" s="293"/>
      <c r="U33" s="293"/>
    </row>
    <row r="34" spans="1:21" ht="21" x14ac:dyDescent="0.2">
      <c r="A34" s="172"/>
      <c r="B34" s="46" t="s">
        <v>330</v>
      </c>
      <c r="C34" s="52" t="s">
        <v>393</v>
      </c>
      <c r="D34" s="224">
        <v>232910000</v>
      </c>
      <c r="E34" s="244" t="s">
        <v>401</v>
      </c>
      <c r="F34" s="157">
        <f>D34/D32*100</f>
        <v>9.5377130946482183</v>
      </c>
      <c r="G34" s="157">
        <f>G33</f>
        <v>100</v>
      </c>
      <c r="H34" s="157">
        <f t="shared" si="5"/>
        <v>99.690768107852819</v>
      </c>
      <c r="I34" s="157">
        <f t="shared" si="6"/>
        <v>9.5082194439780672</v>
      </c>
      <c r="J34" s="224">
        <v>232910000</v>
      </c>
      <c r="K34" s="262">
        <f t="shared" si="0"/>
        <v>100</v>
      </c>
      <c r="L34" s="235">
        <v>6429768</v>
      </c>
      <c r="M34" s="235">
        <v>8673000</v>
      </c>
      <c r="N34" s="221">
        <v>232189768</v>
      </c>
      <c r="O34" s="73">
        <f t="shared" si="7"/>
        <v>99.690768107852819</v>
      </c>
      <c r="P34" s="278">
        <f t="shared" si="3"/>
        <v>99.690768107852819</v>
      </c>
      <c r="Q34" s="252">
        <f t="shared" si="2"/>
        <v>0.3092318921471815</v>
      </c>
      <c r="R34" s="166">
        <f t="shared" si="1"/>
        <v>720232</v>
      </c>
      <c r="S34" s="73">
        <f t="shared" si="8"/>
        <v>0.30923189214718133</v>
      </c>
      <c r="T34" s="157">
        <v>100</v>
      </c>
      <c r="U34" s="224" t="s">
        <v>414</v>
      </c>
    </row>
    <row r="35" spans="1:21" ht="51.95" customHeight="1" x14ac:dyDescent="0.2">
      <c r="A35" s="172"/>
      <c r="B35" s="203" t="s">
        <v>331</v>
      </c>
      <c r="C35" s="189" t="str">
        <f>[2]Sheet1!$I$59</f>
        <v>Koordinasi penyelesaian permasalahan transportasi perkotaan</v>
      </c>
      <c r="D35" s="224">
        <v>200000000</v>
      </c>
      <c r="E35" s="244" t="s">
        <v>401</v>
      </c>
      <c r="F35" s="157">
        <f>D35/D32*100</f>
        <v>8.1900417282626048</v>
      </c>
      <c r="G35" s="157">
        <f>G33</f>
        <v>100</v>
      </c>
      <c r="H35" s="157">
        <f t="shared" si="5"/>
        <v>92.162000000000006</v>
      </c>
      <c r="I35" s="157">
        <f t="shared" si="6"/>
        <v>7.5481062576013827</v>
      </c>
      <c r="J35" s="224">
        <v>200000000</v>
      </c>
      <c r="K35" s="262">
        <f t="shared" si="0"/>
        <v>100</v>
      </c>
      <c r="L35" s="235">
        <v>8140000</v>
      </c>
      <c r="M35" s="235"/>
      <c r="N35" s="221">
        <v>184324000</v>
      </c>
      <c r="O35" s="73">
        <f t="shared" si="7"/>
        <v>92.162000000000006</v>
      </c>
      <c r="P35" s="278">
        <f t="shared" si="3"/>
        <v>92.162000000000006</v>
      </c>
      <c r="Q35" s="252">
        <f t="shared" si="2"/>
        <v>7.8379999999999939</v>
      </c>
      <c r="R35" s="166">
        <f t="shared" si="1"/>
        <v>15676000</v>
      </c>
      <c r="S35" s="73">
        <f t="shared" si="8"/>
        <v>7.838000000000001</v>
      </c>
      <c r="T35" s="157">
        <v>100</v>
      </c>
      <c r="U35" s="224" t="s">
        <v>413</v>
      </c>
    </row>
    <row r="36" spans="1:21" ht="21" x14ac:dyDescent="0.2">
      <c r="A36" s="172"/>
      <c r="B36" s="203" t="s">
        <v>332</v>
      </c>
      <c r="C36" s="188" t="str">
        <f>[2]Sheet1!$I$61</f>
        <v>Koordinasi perencanaan penanganan perumahan</v>
      </c>
      <c r="D36" s="224">
        <v>130360000</v>
      </c>
      <c r="E36" s="244" t="s">
        <v>401</v>
      </c>
      <c r="F36" s="157">
        <f>D36/D32*100</f>
        <v>5.3382691984815667</v>
      </c>
      <c r="G36" s="157">
        <f>G35</f>
        <v>100</v>
      </c>
      <c r="H36" s="157">
        <f t="shared" si="5"/>
        <v>99.693157410248546</v>
      </c>
      <c r="I36" s="157">
        <f t="shared" si="6"/>
        <v>5.3218891150250416</v>
      </c>
      <c r="J36" s="224">
        <v>130360000</v>
      </c>
      <c r="K36" s="262">
        <f t="shared" si="0"/>
        <v>100</v>
      </c>
      <c r="L36" s="235">
        <f>17355300+9300000</f>
        <v>26655300</v>
      </c>
      <c r="M36" s="235"/>
      <c r="N36" s="221">
        <v>129960000</v>
      </c>
      <c r="O36" s="73">
        <f t="shared" si="7"/>
        <v>99.693157410248546</v>
      </c>
      <c r="P36" s="278">
        <f t="shared" si="3"/>
        <v>99.693157410248546</v>
      </c>
      <c r="Q36" s="252">
        <f t="shared" si="2"/>
        <v>0.3068425897514544</v>
      </c>
      <c r="R36" s="166">
        <f t="shared" si="1"/>
        <v>400000</v>
      </c>
      <c r="S36" s="73">
        <f t="shared" si="8"/>
        <v>0.30684258975145751</v>
      </c>
      <c r="T36" s="157">
        <v>85</v>
      </c>
      <c r="U36" s="224" t="s">
        <v>415</v>
      </c>
    </row>
    <row r="37" spans="1:21" ht="21" x14ac:dyDescent="0.2">
      <c r="A37" s="172"/>
      <c r="B37" s="203" t="s">
        <v>333</v>
      </c>
      <c r="C37" s="189" t="s">
        <v>334</v>
      </c>
      <c r="D37" s="224">
        <v>170720000</v>
      </c>
      <c r="E37" s="244" t="s">
        <v>401</v>
      </c>
      <c r="F37" s="157">
        <f>D37/D32*100</f>
        <v>6.9910196192449607</v>
      </c>
      <c r="G37" s="157">
        <f>G36</f>
        <v>100</v>
      </c>
      <c r="H37" s="157">
        <f t="shared" si="5"/>
        <v>99.401358950328017</v>
      </c>
      <c r="I37" s="157">
        <f t="shared" si="6"/>
        <v>6.9491685060135389</v>
      </c>
      <c r="J37" s="224">
        <v>170720000</v>
      </c>
      <c r="K37" s="262">
        <f t="shared" si="0"/>
        <v>100</v>
      </c>
      <c r="L37" s="235">
        <f>11134250+4800000</f>
        <v>15934250</v>
      </c>
      <c r="M37" s="235">
        <v>101023750</v>
      </c>
      <c r="N37" s="221">
        <v>169698000</v>
      </c>
      <c r="O37" s="73">
        <f t="shared" si="7"/>
        <v>99.401358950328017</v>
      </c>
      <c r="P37" s="278">
        <f t="shared" si="3"/>
        <v>99.401358950328017</v>
      </c>
      <c r="Q37" s="252">
        <f t="shared" si="2"/>
        <v>0.59864104967198273</v>
      </c>
      <c r="R37" s="166">
        <f t="shared" si="1"/>
        <v>1022000</v>
      </c>
      <c r="S37" s="73">
        <f t="shared" si="8"/>
        <v>0.59864104967197751</v>
      </c>
      <c r="T37" s="157">
        <v>100</v>
      </c>
      <c r="U37" s="224" t="s">
        <v>416</v>
      </c>
    </row>
    <row r="38" spans="1:21" ht="42" x14ac:dyDescent="0.2">
      <c r="A38" s="172"/>
      <c r="B38" s="203" t="s">
        <v>335</v>
      </c>
      <c r="C38" s="188" t="s">
        <v>337</v>
      </c>
      <c r="D38" s="224">
        <v>745000000</v>
      </c>
      <c r="E38" s="244" t="s">
        <v>401</v>
      </c>
      <c r="F38" s="157">
        <f>D38/D32*100</f>
        <v>30.507905437778206</v>
      </c>
      <c r="G38" s="157">
        <f>G37</f>
        <v>100</v>
      </c>
      <c r="H38" s="157">
        <f t="shared" si="5"/>
        <v>92.692120805369129</v>
      </c>
      <c r="I38" s="157">
        <f t="shared" si="6"/>
        <v>28.278424563573154</v>
      </c>
      <c r="J38" s="224">
        <v>745000000</v>
      </c>
      <c r="K38" s="262">
        <f t="shared" si="0"/>
        <v>100</v>
      </c>
      <c r="L38" s="235">
        <v>55756500</v>
      </c>
      <c r="M38" s="235">
        <v>15590000</v>
      </c>
      <c r="N38" s="221">
        <v>690556300</v>
      </c>
      <c r="O38" s="73">
        <f t="shared" si="7"/>
        <v>92.692120805369129</v>
      </c>
      <c r="P38" s="278">
        <f t="shared" si="3"/>
        <v>92.692120805369129</v>
      </c>
      <c r="Q38" s="252">
        <f t="shared" si="2"/>
        <v>7.3078791946308712</v>
      </c>
      <c r="R38" s="166">
        <f t="shared" si="1"/>
        <v>54443700</v>
      </c>
      <c r="S38" s="73">
        <f t="shared" si="8"/>
        <v>7.307879194630873</v>
      </c>
      <c r="T38" s="157">
        <v>80</v>
      </c>
      <c r="U38" s="224" t="s">
        <v>417</v>
      </c>
    </row>
    <row r="39" spans="1:21" ht="43.5" customHeight="1" x14ac:dyDescent="0.2">
      <c r="A39" s="172"/>
      <c r="B39" s="203" t="s">
        <v>336</v>
      </c>
      <c r="C39" s="61" t="s">
        <v>409</v>
      </c>
      <c r="D39" s="224">
        <v>530000000</v>
      </c>
      <c r="E39" s="244" t="s">
        <v>401</v>
      </c>
      <c r="F39" s="157">
        <f>D39/D32*100</f>
        <v>21.703610579895905</v>
      </c>
      <c r="G39" s="157">
        <f>G38</f>
        <v>100</v>
      </c>
      <c r="H39" s="157">
        <f t="shared" si="5"/>
        <v>98.292358490566031</v>
      </c>
      <c r="I39" s="157">
        <f t="shared" si="6"/>
        <v>21.332990716587702</v>
      </c>
      <c r="J39" s="224">
        <v>530000000</v>
      </c>
      <c r="K39" s="262">
        <f t="shared" si="0"/>
        <v>100</v>
      </c>
      <c r="L39" s="235">
        <v>17249500</v>
      </c>
      <c r="M39" s="235"/>
      <c r="N39" s="221">
        <v>520949500</v>
      </c>
      <c r="O39" s="73">
        <f t="shared" si="7"/>
        <v>98.292358490566031</v>
      </c>
      <c r="P39" s="278">
        <f t="shared" si="3"/>
        <v>98.292358490566031</v>
      </c>
      <c r="Q39" s="252">
        <f t="shared" si="2"/>
        <v>1.7076415094339694</v>
      </c>
      <c r="R39" s="166">
        <f t="shared" si="1"/>
        <v>9050500</v>
      </c>
      <c r="S39" s="73">
        <f t="shared" si="8"/>
        <v>1.7076415094339623</v>
      </c>
      <c r="T39" s="157">
        <v>100</v>
      </c>
      <c r="U39" s="224" t="s">
        <v>455</v>
      </c>
    </row>
    <row r="40" spans="1:21" ht="47.1" customHeight="1" x14ac:dyDescent="0.2">
      <c r="A40" s="172"/>
      <c r="B40" s="203" t="s">
        <v>336</v>
      </c>
      <c r="C40" s="61" t="s">
        <v>410</v>
      </c>
      <c r="D40" s="224">
        <v>433000000</v>
      </c>
      <c r="E40" s="244" t="s">
        <v>401</v>
      </c>
      <c r="F40" s="157" t="e">
        <f>D40/D33*100</f>
        <v>#DIV/0!</v>
      </c>
      <c r="G40" s="157">
        <f>G39</f>
        <v>100</v>
      </c>
      <c r="H40" s="157">
        <f t="shared" si="5"/>
        <v>98.724018475750569</v>
      </c>
      <c r="I40" s="157" t="e">
        <f t="shared" si="6"/>
        <v>#DIV/0!</v>
      </c>
      <c r="J40" s="224">
        <v>433000000</v>
      </c>
      <c r="K40" s="262">
        <f t="shared" si="0"/>
        <v>100</v>
      </c>
      <c r="L40" s="235">
        <v>17249500</v>
      </c>
      <c r="M40" s="235"/>
      <c r="N40" s="221">
        <v>427475000</v>
      </c>
      <c r="O40" s="73">
        <f t="shared" si="7"/>
        <v>98.724018475750569</v>
      </c>
      <c r="P40" s="278">
        <f t="shared" si="3"/>
        <v>98.724018475750569</v>
      </c>
      <c r="Q40" s="252">
        <f t="shared" si="2"/>
        <v>1.2759815242494312</v>
      </c>
      <c r="R40" s="166">
        <f t="shared" si="1"/>
        <v>5525000</v>
      </c>
      <c r="S40" s="73">
        <f t="shared" si="8"/>
        <v>1.2759815242494228</v>
      </c>
      <c r="T40" s="157">
        <v>100</v>
      </c>
      <c r="U40" s="224" t="s">
        <v>456</v>
      </c>
    </row>
    <row r="41" spans="1:21" s="230" customFormat="1" ht="24" customHeight="1" x14ac:dyDescent="0.2">
      <c r="A41" s="173" t="s">
        <v>82</v>
      </c>
      <c r="B41" s="239" t="s">
        <v>338</v>
      </c>
      <c r="C41" s="229" t="str">
        <f>[2]Sheet1!$I$81</f>
        <v>Program perencanaan pembangunan ekonomi</v>
      </c>
      <c r="D41" s="222">
        <f>SUM(D42:D47)</f>
        <v>1107930000</v>
      </c>
      <c r="E41" s="158"/>
      <c r="F41" s="156">
        <f>D41/D14*100</f>
        <v>7.4761155199685669</v>
      </c>
      <c r="G41" s="156">
        <f>AVERAGE(G42:G47)</f>
        <v>100</v>
      </c>
      <c r="H41" s="156">
        <f t="shared" si="5"/>
        <v>98.850842742772556</v>
      </c>
      <c r="I41" s="156">
        <f t="shared" si="6"/>
        <v>7.3902031959121404</v>
      </c>
      <c r="J41" s="222">
        <f>SUM(J42:J47)</f>
        <v>1107930000</v>
      </c>
      <c r="K41" s="263">
        <f t="shared" si="0"/>
        <v>100</v>
      </c>
      <c r="L41" s="223">
        <f>SUM(L42:L47)</f>
        <v>46982730</v>
      </c>
      <c r="M41" s="223">
        <f>SUM(M42:M47)</f>
        <v>34209541</v>
      </c>
      <c r="N41" s="222">
        <f>SUM(N42:N47)</f>
        <v>1095198142</v>
      </c>
      <c r="O41" s="163">
        <f>P41</f>
        <v>98.850842742772556</v>
      </c>
      <c r="P41" s="309">
        <f>N41/D41*100</f>
        <v>98.850842742772556</v>
      </c>
      <c r="Q41" s="251">
        <f t="shared" si="2"/>
        <v>1.1491572572274436</v>
      </c>
      <c r="R41" s="165">
        <f t="shared" si="1"/>
        <v>12731858</v>
      </c>
      <c r="S41" s="163">
        <f t="shared" si="8"/>
        <v>1.149157257227442</v>
      </c>
      <c r="T41" s="292"/>
      <c r="U41" s="292"/>
    </row>
    <row r="42" spans="1:21" ht="35.1" customHeight="1" x14ac:dyDescent="0.2">
      <c r="A42" s="172"/>
      <c r="B42" s="162" t="s">
        <v>341</v>
      </c>
      <c r="C42" s="189" t="s">
        <v>290</v>
      </c>
      <c r="D42" s="276">
        <v>200000000</v>
      </c>
      <c r="E42" s="244" t="s">
        <v>401</v>
      </c>
      <c r="F42" s="157">
        <f>D42/D41*100</f>
        <v>18.051681965467132</v>
      </c>
      <c r="G42" s="157">
        <v>100</v>
      </c>
      <c r="H42" s="157">
        <f t="shared" si="5"/>
        <v>98.593365000000006</v>
      </c>
      <c r="I42" s="157">
        <f t="shared" si="6"/>
        <v>17.797760688852183</v>
      </c>
      <c r="J42" s="276">
        <v>200000000</v>
      </c>
      <c r="K42" s="262">
        <f t="shared" si="0"/>
        <v>100</v>
      </c>
      <c r="L42" s="235">
        <v>6367730</v>
      </c>
      <c r="M42" s="235">
        <v>5129000</v>
      </c>
      <c r="N42" s="221">
        <v>197186730</v>
      </c>
      <c r="O42" s="73">
        <f t="shared" si="7"/>
        <v>98.593365000000006</v>
      </c>
      <c r="P42" s="278">
        <f t="shared" ref="P42:P74" si="10">N42/D42*100</f>
        <v>98.593365000000006</v>
      </c>
      <c r="Q42" s="252">
        <f t="shared" si="2"/>
        <v>1.4066349999999943</v>
      </c>
      <c r="R42" s="166">
        <f t="shared" si="1"/>
        <v>2813270</v>
      </c>
      <c r="S42" s="73">
        <f t="shared" si="8"/>
        <v>1.4066350000000001</v>
      </c>
      <c r="T42" s="293">
        <v>100</v>
      </c>
      <c r="U42" s="293" t="s">
        <v>430</v>
      </c>
    </row>
    <row r="43" spans="1:21" ht="31.5" x14ac:dyDescent="0.2">
      <c r="A43" s="172"/>
      <c r="B43" s="204" t="s">
        <v>339</v>
      </c>
      <c r="C43" s="189" t="s">
        <v>340</v>
      </c>
      <c r="D43" s="276">
        <f>D42</f>
        <v>200000000</v>
      </c>
      <c r="E43" s="244" t="s">
        <v>401</v>
      </c>
      <c r="F43" s="157">
        <f>D43/D41*100</f>
        <v>18.051681965467132</v>
      </c>
      <c r="G43" s="157">
        <v>100</v>
      </c>
      <c r="H43" s="157">
        <f t="shared" si="5"/>
        <v>99.052770499999994</v>
      </c>
      <c r="I43" s="157">
        <f t="shared" si="6"/>
        <v>17.880691108644047</v>
      </c>
      <c r="J43" s="276">
        <f>J42</f>
        <v>200000000</v>
      </c>
      <c r="K43" s="262">
        <f t="shared" si="0"/>
        <v>100</v>
      </c>
      <c r="L43" s="235">
        <v>4645000</v>
      </c>
      <c r="M43" s="235">
        <v>5430541</v>
      </c>
      <c r="N43" s="221">
        <v>198105541</v>
      </c>
      <c r="O43" s="73">
        <f t="shared" si="7"/>
        <v>99.052770499999994</v>
      </c>
      <c r="P43" s="278">
        <f t="shared" si="10"/>
        <v>99.052770499999994</v>
      </c>
      <c r="Q43" s="252">
        <f t="shared" si="2"/>
        <v>0.94722950000000594</v>
      </c>
      <c r="R43" s="166">
        <f t="shared" si="1"/>
        <v>1894459</v>
      </c>
      <c r="S43" s="73">
        <f t="shared" si="8"/>
        <v>0.94722950000000006</v>
      </c>
      <c r="T43" s="293">
        <v>100</v>
      </c>
      <c r="U43" s="293" t="s">
        <v>431</v>
      </c>
    </row>
    <row r="44" spans="1:21" ht="21" x14ac:dyDescent="0.2">
      <c r="A44" s="174"/>
      <c r="B44" s="204" t="s">
        <v>342</v>
      </c>
      <c r="C44" s="189" t="s">
        <v>343</v>
      </c>
      <c r="D44" s="276">
        <v>175000000</v>
      </c>
      <c r="E44" s="244" t="s">
        <v>401</v>
      </c>
      <c r="F44" s="157">
        <f>D44/D41*100</f>
        <v>15.795221719783742</v>
      </c>
      <c r="G44" s="157">
        <v>100</v>
      </c>
      <c r="H44" s="157">
        <f t="shared" si="5"/>
        <v>99.397142857142867</v>
      </c>
      <c r="I44" s="157">
        <f t="shared" si="6"/>
        <v>15.699999097415905</v>
      </c>
      <c r="J44" s="276">
        <v>175000000</v>
      </c>
      <c r="K44" s="262">
        <f t="shared" si="0"/>
        <v>100</v>
      </c>
      <c r="L44" s="235">
        <v>2820000</v>
      </c>
      <c r="M44" s="235"/>
      <c r="N44" s="221">
        <v>173945000</v>
      </c>
      <c r="O44" s="73">
        <f t="shared" si="7"/>
        <v>99.397142857142867</v>
      </c>
      <c r="P44" s="278">
        <f t="shared" si="10"/>
        <v>99.397142857142867</v>
      </c>
      <c r="Q44" s="252">
        <f t="shared" si="2"/>
        <v>0.60285714285713254</v>
      </c>
      <c r="R44" s="166">
        <f t="shared" si="1"/>
        <v>1055000</v>
      </c>
      <c r="S44" s="73">
        <f t="shared" si="8"/>
        <v>0.60285714285714287</v>
      </c>
      <c r="T44" s="293">
        <v>100</v>
      </c>
      <c r="U44" s="293" t="s">
        <v>432</v>
      </c>
    </row>
    <row r="45" spans="1:21" ht="21" x14ac:dyDescent="0.2">
      <c r="A45" s="172"/>
      <c r="B45" s="204" t="s">
        <v>346</v>
      </c>
      <c r="C45" s="189" t="s">
        <v>344</v>
      </c>
      <c r="D45" s="276">
        <v>142210000</v>
      </c>
      <c r="E45" s="244" t="s">
        <v>401</v>
      </c>
      <c r="F45" s="157">
        <f>D45/D41*100</f>
        <v>12.835648461545404</v>
      </c>
      <c r="G45" s="157">
        <v>100</v>
      </c>
      <c r="H45" s="157">
        <f t="shared" si="5"/>
        <v>99.857956543140432</v>
      </c>
      <c r="I45" s="157">
        <f t="shared" si="6"/>
        <v>12.817416262760283</v>
      </c>
      <c r="J45" s="276">
        <v>142210000</v>
      </c>
      <c r="K45" s="262">
        <f t="shared" si="0"/>
        <v>100</v>
      </c>
      <c r="L45" s="235"/>
      <c r="M45" s="235"/>
      <c r="N45" s="221">
        <v>142008000</v>
      </c>
      <c r="O45" s="73">
        <f t="shared" si="7"/>
        <v>99.857956543140432</v>
      </c>
      <c r="P45" s="278">
        <f t="shared" si="10"/>
        <v>99.857956543140432</v>
      </c>
      <c r="Q45" s="252">
        <f t="shared" si="2"/>
        <v>0.1420434568595681</v>
      </c>
      <c r="R45" s="166">
        <f t="shared" si="1"/>
        <v>202000</v>
      </c>
      <c r="S45" s="73">
        <f t="shared" si="8"/>
        <v>0.14204345685957387</v>
      </c>
      <c r="T45" s="293">
        <v>100</v>
      </c>
      <c r="U45" s="293" t="s">
        <v>433</v>
      </c>
    </row>
    <row r="46" spans="1:21" ht="17.45" customHeight="1" x14ac:dyDescent="0.2">
      <c r="A46" s="172"/>
      <c r="B46" s="204" t="s">
        <v>347</v>
      </c>
      <c r="C46" s="189" t="s">
        <v>345</v>
      </c>
      <c r="D46" s="276">
        <v>207770000</v>
      </c>
      <c r="E46" s="244" t="s">
        <v>401</v>
      </c>
      <c r="F46" s="157">
        <f>D46/D41*100</f>
        <v>18.752989809825529</v>
      </c>
      <c r="G46" s="157">
        <v>100</v>
      </c>
      <c r="H46" s="157">
        <f t="shared" si="5"/>
        <v>100</v>
      </c>
      <c r="I46" s="157">
        <f t="shared" si="6"/>
        <v>18.752989809825529</v>
      </c>
      <c r="J46" s="276">
        <v>207770000</v>
      </c>
      <c r="K46" s="262">
        <f t="shared" si="0"/>
        <v>100</v>
      </c>
      <c r="L46" s="235">
        <v>11480000</v>
      </c>
      <c r="M46" s="235">
        <v>1650000</v>
      </c>
      <c r="N46" s="221">
        <v>207770000</v>
      </c>
      <c r="O46" s="73">
        <f t="shared" si="7"/>
        <v>100</v>
      </c>
      <c r="P46" s="278">
        <f t="shared" si="10"/>
        <v>100</v>
      </c>
      <c r="Q46" s="252">
        <f t="shared" si="2"/>
        <v>0</v>
      </c>
      <c r="R46" s="166">
        <f t="shared" si="1"/>
        <v>0</v>
      </c>
      <c r="S46" s="73">
        <f t="shared" si="8"/>
        <v>0</v>
      </c>
      <c r="T46" s="293">
        <v>100</v>
      </c>
      <c r="U46" s="293" t="s">
        <v>434</v>
      </c>
    </row>
    <row r="47" spans="1:21" ht="24.6" customHeight="1" x14ac:dyDescent="0.2">
      <c r="A47" s="172"/>
      <c r="B47" s="204" t="s">
        <v>348</v>
      </c>
      <c r="C47" s="61" t="s">
        <v>349</v>
      </c>
      <c r="D47" s="287">
        <v>182950000</v>
      </c>
      <c r="E47" s="244" t="s">
        <v>401</v>
      </c>
      <c r="F47" s="157">
        <f>D47/D41*100</f>
        <v>16.51277607791106</v>
      </c>
      <c r="G47" s="157">
        <v>100</v>
      </c>
      <c r="H47" s="157">
        <f t="shared" si="5"/>
        <v>96.301104673408034</v>
      </c>
      <c r="I47" s="157">
        <f t="shared" si="6"/>
        <v>15.901985775274611</v>
      </c>
      <c r="J47" s="287">
        <v>182950000</v>
      </c>
      <c r="K47" s="262">
        <f t="shared" si="0"/>
        <v>100</v>
      </c>
      <c r="L47" s="235">
        <v>21670000</v>
      </c>
      <c r="M47" s="235">
        <v>22000000</v>
      </c>
      <c r="N47" s="221">
        <v>176182871</v>
      </c>
      <c r="O47" s="73">
        <f t="shared" si="7"/>
        <v>96.301104673408034</v>
      </c>
      <c r="P47" s="278">
        <f t="shared" si="10"/>
        <v>96.301104673408034</v>
      </c>
      <c r="Q47" s="252">
        <f t="shared" si="2"/>
        <v>3.6988953265919662</v>
      </c>
      <c r="R47" s="166">
        <f t="shared" si="1"/>
        <v>6767129</v>
      </c>
      <c r="S47" s="73">
        <f t="shared" si="8"/>
        <v>3.6988953265919653</v>
      </c>
      <c r="T47" s="293">
        <v>100</v>
      </c>
      <c r="U47" s="293" t="s">
        <v>435</v>
      </c>
    </row>
    <row r="48" spans="1:21" s="230" customFormat="1" ht="24.95" customHeight="1" x14ac:dyDescent="0.2">
      <c r="A48" s="173" t="s">
        <v>93</v>
      </c>
      <c r="B48" s="239" t="s">
        <v>350</v>
      </c>
      <c r="C48" s="229" t="str">
        <f>[2]Sheet1!$I$69</f>
        <v>Program perencanaan pembangunan daerah</v>
      </c>
      <c r="D48" s="222">
        <f>SUM(D49:D58)</f>
        <v>3483652393</v>
      </c>
      <c r="E48" s="158"/>
      <c r="F48" s="156">
        <f>D48/D14*100</f>
        <v>23.507069689856706</v>
      </c>
      <c r="G48" s="156">
        <f>AVERAGE(G49:G55)</f>
        <v>100</v>
      </c>
      <c r="H48" s="156">
        <f t="shared" si="5"/>
        <v>97.357568390434992</v>
      </c>
      <c r="I48" s="156">
        <f t="shared" si="6"/>
        <v>22.885911449889459</v>
      </c>
      <c r="J48" s="222">
        <f>SUM(J49:J58)</f>
        <v>3483652393</v>
      </c>
      <c r="K48" s="263">
        <f t="shared" si="0"/>
        <v>100</v>
      </c>
      <c r="L48" s="223">
        <f>SUM(L49:L58)</f>
        <v>1244782133</v>
      </c>
      <c r="M48" s="223">
        <f>SUM(M49:M58)</f>
        <v>314785407</v>
      </c>
      <c r="N48" s="222">
        <f>SUM(N49:N58)</f>
        <v>3391599261</v>
      </c>
      <c r="O48" s="163">
        <f>P48</f>
        <v>97.357568390434992</v>
      </c>
      <c r="P48" s="309">
        <f t="shared" si="10"/>
        <v>97.357568390434992</v>
      </c>
      <c r="Q48" s="251">
        <f t="shared" si="2"/>
        <v>2.6424316095650084</v>
      </c>
      <c r="R48" s="165">
        <f t="shared" si="1"/>
        <v>92053132</v>
      </c>
      <c r="S48" s="163">
        <f t="shared" si="8"/>
        <v>2.6424316095650133</v>
      </c>
      <c r="T48" s="292"/>
      <c r="U48" s="292"/>
    </row>
    <row r="49" spans="1:21" ht="24.75" customHeight="1" x14ac:dyDescent="0.2">
      <c r="A49" s="172"/>
      <c r="B49" s="203" t="s">
        <v>352</v>
      </c>
      <c r="C49" s="189" t="s">
        <v>351</v>
      </c>
      <c r="D49" s="276">
        <v>350072000</v>
      </c>
      <c r="E49" s="244" t="s">
        <v>401</v>
      </c>
      <c r="F49" s="157">
        <f>D49/D48*100</f>
        <v>10.048993427226826</v>
      </c>
      <c r="G49" s="157">
        <v>100</v>
      </c>
      <c r="H49" s="157">
        <f t="shared" si="5"/>
        <v>96.687400306222713</v>
      </c>
      <c r="I49" s="157">
        <f t="shared" si="6"/>
        <v>9.7161105017288101</v>
      </c>
      <c r="J49" s="276">
        <v>350072000</v>
      </c>
      <c r="K49" s="262">
        <f t="shared" si="0"/>
        <v>100</v>
      </c>
      <c r="L49" s="235">
        <v>140482000</v>
      </c>
      <c r="M49" s="235"/>
      <c r="N49" s="221">
        <v>338475516</v>
      </c>
      <c r="O49" s="73">
        <f t="shared" ref="O49:O66" si="11">P49</f>
        <v>96.687400306222713</v>
      </c>
      <c r="P49" s="278">
        <f t="shared" si="10"/>
        <v>96.687400306222713</v>
      </c>
      <c r="Q49" s="252">
        <f t="shared" si="2"/>
        <v>3.3125996937772868</v>
      </c>
      <c r="R49" s="166">
        <f t="shared" si="1"/>
        <v>11596484</v>
      </c>
      <c r="S49" s="73">
        <f t="shared" si="8"/>
        <v>3.3125996937772801</v>
      </c>
      <c r="T49" s="157">
        <v>100</v>
      </c>
      <c r="U49" s="276" t="s">
        <v>418</v>
      </c>
    </row>
    <row r="50" spans="1:21" ht="17.100000000000001" customHeight="1" x14ac:dyDescent="0.2">
      <c r="A50" s="172"/>
      <c r="B50" s="203" t="s">
        <v>355</v>
      </c>
      <c r="C50" s="189" t="s">
        <v>354</v>
      </c>
      <c r="D50" s="276">
        <v>459340300</v>
      </c>
      <c r="E50" s="244" t="s">
        <v>401</v>
      </c>
      <c r="F50" s="157">
        <f>D50/D48*100</f>
        <v>13.185595122033176</v>
      </c>
      <c r="G50" s="157">
        <v>100</v>
      </c>
      <c r="H50" s="157">
        <f t="shared" si="5"/>
        <v>99.614664770323884</v>
      </c>
      <c r="I50" s="157">
        <f t="shared" si="6"/>
        <v>13.134786378785527</v>
      </c>
      <c r="J50" s="276">
        <v>459340300</v>
      </c>
      <c r="K50" s="262">
        <f t="shared" si="0"/>
        <v>100</v>
      </c>
      <c r="L50" s="235">
        <v>270870300</v>
      </c>
      <c r="M50" s="235">
        <v>161200000</v>
      </c>
      <c r="N50" s="221">
        <v>457570300</v>
      </c>
      <c r="O50" s="73">
        <f t="shared" si="11"/>
        <v>99.614664770323884</v>
      </c>
      <c r="P50" s="278">
        <f t="shared" si="10"/>
        <v>99.614664770323884</v>
      </c>
      <c r="Q50" s="252">
        <f t="shared" si="2"/>
        <v>0.38533522967611589</v>
      </c>
      <c r="R50" s="166">
        <f t="shared" si="1"/>
        <v>1770000</v>
      </c>
      <c r="S50" s="73">
        <f t="shared" si="8"/>
        <v>0.38533522967612466</v>
      </c>
      <c r="T50" s="157">
        <v>100</v>
      </c>
      <c r="U50" s="276" t="s">
        <v>419</v>
      </c>
    </row>
    <row r="51" spans="1:21" ht="42.95" customHeight="1" x14ac:dyDescent="0.2">
      <c r="A51" s="172"/>
      <c r="B51" s="203" t="s">
        <v>356</v>
      </c>
      <c r="C51" s="189" t="s">
        <v>357</v>
      </c>
      <c r="D51" s="276">
        <v>566988670</v>
      </c>
      <c r="E51" s="244" t="s">
        <v>401</v>
      </c>
      <c r="F51" s="157">
        <f>D51/D48*100</f>
        <v>16.275695908676155</v>
      </c>
      <c r="G51" s="157">
        <v>100</v>
      </c>
      <c r="H51" s="157">
        <f t="shared" si="5"/>
        <v>97.773853223557367</v>
      </c>
      <c r="I51" s="157">
        <f t="shared" si="6"/>
        <v>15.913375028861555</v>
      </c>
      <c r="J51" s="276">
        <v>566988670</v>
      </c>
      <c r="K51" s="262">
        <f t="shared" si="0"/>
        <v>100</v>
      </c>
      <c r="L51" s="235">
        <v>381776670</v>
      </c>
      <c r="M51" s="235"/>
      <c r="N51" s="221">
        <v>554366670</v>
      </c>
      <c r="O51" s="73">
        <f t="shared" si="11"/>
        <v>97.773853223557367</v>
      </c>
      <c r="P51" s="278">
        <f t="shared" si="10"/>
        <v>97.773853223557367</v>
      </c>
      <c r="Q51" s="252">
        <f t="shared" si="2"/>
        <v>2.2261467764426328</v>
      </c>
      <c r="R51" s="166">
        <f t="shared" si="1"/>
        <v>12622000</v>
      </c>
      <c r="S51" s="73">
        <f t="shared" si="8"/>
        <v>2.2261467764426404</v>
      </c>
      <c r="T51" s="157">
        <v>100</v>
      </c>
      <c r="U51" s="276" t="s">
        <v>420</v>
      </c>
    </row>
    <row r="52" spans="1:21" ht="17.100000000000001" customHeight="1" x14ac:dyDescent="0.2">
      <c r="A52" s="172"/>
      <c r="B52" s="203" t="s">
        <v>361</v>
      </c>
      <c r="C52" s="189" t="s">
        <v>358</v>
      </c>
      <c r="D52" s="276">
        <v>391710000</v>
      </c>
      <c r="E52" s="244" t="s">
        <v>401</v>
      </c>
      <c r="F52" s="157">
        <f>D52/D48*100</f>
        <v>11.244233230246977</v>
      </c>
      <c r="G52" s="157">
        <v>100</v>
      </c>
      <c r="H52" s="157">
        <f t="shared" si="5"/>
        <v>96.186411375762688</v>
      </c>
      <c r="I52" s="157">
        <f t="shared" si="6"/>
        <v>10.815424430895566</v>
      </c>
      <c r="J52" s="276">
        <v>391710000</v>
      </c>
      <c r="K52" s="262">
        <f t="shared" si="0"/>
        <v>100</v>
      </c>
      <c r="L52" s="235"/>
      <c r="M52" s="235"/>
      <c r="N52" s="221">
        <v>376771792</v>
      </c>
      <c r="O52" s="73">
        <f t="shared" si="11"/>
        <v>96.186411375762688</v>
      </c>
      <c r="P52" s="278">
        <f t="shared" si="10"/>
        <v>96.186411375762688</v>
      </c>
      <c r="Q52" s="252">
        <f t="shared" si="2"/>
        <v>3.8135886242373118</v>
      </c>
      <c r="R52" s="166">
        <f t="shared" si="1"/>
        <v>14938208</v>
      </c>
      <c r="S52" s="73">
        <f t="shared" si="8"/>
        <v>3.8135886242373185</v>
      </c>
      <c r="T52" s="157">
        <v>100</v>
      </c>
      <c r="U52" s="276" t="s">
        <v>421</v>
      </c>
    </row>
    <row r="53" spans="1:21" ht="17.100000000000001" customHeight="1" x14ac:dyDescent="0.2">
      <c r="A53" s="172"/>
      <c r="B53" s="203" t="s">
        <v>353</v>
      </c>
      <c r="C53" s="189" t="s">
        <v>359</v>
      </c>
      <c r="D53" s="276">
        <v>460000000</v>
      </c>
      <c r="E53" s="244" t="s">
        <v>401</v>
      </c>
      <c r="F53" s="157">
        <f>D53/D48*100</f>
        <v>13.204532143457174</v>
      </c>
      <c r="G53" s="157">
        <v>100</v>
      </c>
      <c r="H53" s="157">
        <f t="shared" si="5"/>
        <v>97.606452391304344</v>
      </c>
      <c r="I53" s="157">
        <f t="shared" si="6"/>
        <v>12.888475380098004</v>
      </c>
      <c r="J53" s="276">
        <v>460000000</v>
      </c>
      <c r="K53" s="262">
        <f t="shared" si="0"/>
        <v>100</v>
      </c>
      <c r="L53" s="235"/>
      <c r="M53" s="235"/>
      <c r="N53" s="221">
        <v>448989681</v>
      </c>
      <c r="O53" s="73">
        <f t="shared" si="11"/>
        <v>97.606452391304344</v>
      </c>
      <c r="P53" s="278">
        <f t="shared" si="10"/>
        <v>97.606452391304344</v>
      </c>
      <c r="Q53" s="252">
        <f t="shared" si="2"/>
        <v>2.3935476086956555</v>
      </c>
      <c r="R53" s="166">
        <f t="shared" si="1"/>
        <v>11010319</v>
      </c>
      <c r="S53" s="73">
        <f t="shared" si="8"/>
        <v>2.3935476086956524</v>
      </c>
      <c r="T53" s="157">
        <v>100</v>
      </c>
      <c r="U53" s="276" t="s">
        <v>422</v>
      </c>
    </row>
    <row r="54" spans="1:21" ht="21" x14ac:dyDescent="0.2">
      <c r="A54" s="172"/>
      <c r="B54" s="203" t="s">
        <v>362</v>
      </c>
      <c r="C54" s="189" t="s">
        <v>360</v>
      </c>
      <c r="D54" s="276">
        <v>202200000</v>
      </c>
      <c r="E54" s="244" t="s">
        <v>401</v>
      </c>
      <c r="F54" s="157">
        <f>D54/D48*100</f>
        <v>5.8042530421892184</v>
      </c>
      <c r="G54" s="157">
        <v>100</v>
      </c>
      <c r="H54" s="157">
        <f t="shared" si="5"/>
        <v>99.391982195845699</v>
      </c>
      <c r="I54" s="157">
        <f t="shared" si="6"/>
        <v>5.7689621502945405</v>
      </c>
      <c r="J54" s="276">
        <v>202200000</v>
      </c>
      <c r="K54" s="262">
        <f t="shared" si="0"/>
        <v>100</v>
      </c>
      <c r="L54" s="235">
        <v>62760394</v>
      </c>
      <c r="M54" s="235">
        <v>45313200</v>
      </c>
      <c r="N54" s="221">
        <v>200970588</v>
      </c>
      <c r="O54" s="73">
        <f t="shared" si="11"/>
        <v>99.391982195845699</v>
      </c>
      <c r="P54" s="278">
        <f t="shared" si="10"/>
        <v>99.391982195845699</v>
      </c>
      <c r="Q54" s="252">
        <f t="shared" si="2"/>
        <v>0.60801780415430073</v>
      </c>
      <c r="R54" s="166">
        <f t="shared" si="1"/>
        <v>1229412</v>
      </c>
      <c r="S54" s="73">
        <f t="shared" si="8"/>
        <v>0.60801780415430262</v>
      </c>
      <c r="T54" s="157">
        <v>100</v>
      </c>
      <c r="U54" s="276" t="s">
        <v>423</v>
      </c>
    </row>
    <row r="55" spans="1:21" ht="35.1" customHeight="1" x14ac:dyDescent="0.2">
      <c r="A55" s="172"/>
      <c r="B55" s="203" t="s">
        <v>363</v>
      </c>
      <c r="C55" s="168" t="s">
        <v>391</v>
      </c>
      <c r="D55" s="276">
        <v>236270000</v>
      </c>
      <c r="E55" s="244" t="s">
        <v>401</v>
      </c>
      <c r="F55" s="157">
        <f>D55/D48*100</f>
        <v>6.7822495859448395</v>
      </c>
      <c r="G55" s="157">
        <v>100</v>
      </c>
      <c r="H55" s="157">
        <f t="shared" si="5"/>
        <v>94.143580649257203</v>
      </c>
      <c r="I55" s="157">
        <f t="shared" si="6"/>
        <v>6.3850526087778929</v>
      </c>
      <c r="J55" s="276">
        <v>236270000</v>
      </c>
      <c r="K55" s="262">
        <f t="shared" si="0"/>
        <v>100</v>
      </c>
      <c r="L55" s="235">
        <v>43689800</v>
      </c>
      <c r="M55" s="235"/>
      <c r="N55" s="221">
        <v>222433038</v>
      </c>
      <c r="O55" s="73">
        <f t="shared" si="11"/>
        <v>94.143580649257203</v>
      </c>
      <c r="P55" s="278">
        <f t="shared" si="10"/>
        <v>94.143580649257203</v>
      </c>
      <c r="Q55" s="252">
        <f t="shared" si="2"/>
        <v>5.8564193507427973</v>
      </c>
      <c r="R55" s="166">
        <f t="shared" si="1"/>
        <v>13836962</v>
      </c>
      <c r="S55" s="73">
        <f t="shared" si="8"/>
        <v>5.8564193507427937</v>
      </c>
      <c r="T55" s="157">
        <v>100</v>
      </c>
      <c r="U55" s="276" t="s">
        <v>424</v>
      </c>
    </row>
    <row r="56" spans="1:21" x14ac:dyDescent="0.2">
      <c r="A56" s="172"/>
      <c r="B56" s="203" t="s">
        <v>364</v>
      </c>
      <c r="C56" s="188" t="s">
        <v>365</v>
      </c>
      <c r="D56" s="276">
        <v>379971423</v>
      </c>
      <c r="E56" s="244" t="s">
        <v>401</v>
      </c>
      <c r="F56" s="157">
        <f>D56/D48*100</f>
        <v>10.907271453475351</v>
      </c>
      <c r="G56" s="157">
        <v>100</v>
      </c>
      <c r="H56" s="157">
        <f t="shared" si="5"/>
        <v>95.387754199609901</v>
      </c>
      <c r="I56" s="157">
        <f t="shared" si="6"/>
        <v>10.404201283925286</v>
      </c>
      <c r="J56" s="276">
        <v>379971423</v>
      </c>
      <c r="K56" s="262">
        <f t="shared" si="0"/>
        <v>100</v>
      </c>
      <c r="L56" s="235">
        <v>20375000</v>
      </c>
      <c r="M56" s="235">
        <v>108272207</v>
      </c>
      <c r="N56" s="221">
        <v>362446207</v>
      </c>
      <c r="O56" s="73">
        <f t="shared" si="11"/>
        <v>95.387754199609901</v>
      </c>
      <c r="P56" s="278">
        <f t="shared" si="10"/>
        <v>95.387754199609901</v>
      </c>
      <c r="Q56" s="252">
        <f t="shared" si="2"/>
        <v>4.6122458003900988</v>
      </c>
      <c r="R56" s="166">
        <f t="shared" si="1"/>
        <v>17525216</v>
      </c>
      <c r="S56" s="73">
        <f t="shared" si="8"/>
        <v>4.6122458003900997</v>
      </c>
      <c r="T56" s="157">
        <v>75</v>
      </c>
      <c r="U56" s="276" t="s">
        <v>425</v>
      </c>
    </row>
    <row r="57" spans="1:21" ht="31.5" x14ac:dyDescent="0.2">
      <c r="A57" s="172"/>
      <c r="B57" s="203" t="s">
        <v>367</v>
      </c>
      <c r="C57" s="188" t="s">
        <v>366</v>
      </c>
      <c r="D57" s="276">
        <v>219500000</v>
      </c>
      <c r="E57" s="244" t="s">
        <v>401</v>
      </c>
      <c r="F57" s="157">
        <f>D57/D48*100</f>
        <v>6.3008582728018476</v>
      </c>
      <c r="G57" s="157">
        <v>100</v>
      </c>
      <c r="H57" s="157">
        <f t="shared" si="5"/>
        <v>99.954226423690201</v>
      </c>
      <c r="I57" s="157">
        <f t="shared" si="6"/>
        <v>6.2979741446321746</v>
      </c>
      <c r="J57" s="276">
        <v>219500000</v>
      </c>
      <c r="K57" s="262">
        <f t="shared" si="0"/>
        <v>100</v>
      </c>
      <c r="L57" s="235">
        <v>219399527</v>
      </c>
      <c r="M57" s="235"/>
      <c r="N57" s="221">
        <v>219399527</v>
      </c>
      <c r="O57" s="73">
        <f t="shared" si="11"/>
        <v>99.954226423690201</v>
      </c>
      <c r="P57" s="278">
        <f t="shared" si="10"/>
        <v>99.954226423690201</v>
      </c>
      <c r="Q57" s="252">
        <f t="shared" si="2"/>
        <v>4.5773576309798614E-2</v>
      </c>
      <c r="R57" s="166">
        <f t="shared" si="1"/>
        <v>100473</v>
      </c>
      <c r="S57" s="73">
        <f t="shared" si="8"/>
        <v>4.5773576309794985E-2</v>
      </c>
      <c r="T57" s="157">
        <v>100</v>
      </c>
      <c r="U57" s="276" t="s">
        <v>426</v>
      </c>
    </row>
    <row r="58" spans="1:21" ht="31.5" x14ac:dyDescent="0.2">
      <c r="A58" s="172"/>
      <c r="B58" s="203" t="s">
        <v>369</v>
      </c>
      <c r="C58" s="188" t="s">
        <v>368</v>
      </c>
      <c r="D58" s="276">
        <v>217600000</v>
      </c>
      <c r="E58" s="244" t="s">
        <v>401</v>
      </c>
      <c r="F58" s="157">
        <f>D58/D48*100</f>
        <v>6.2463178139484361</v>
      </c>
      <c r="G58" s="157">
        <v>100</v>
      </c>
      <c r="H58" s="157">
        <f t="shared" si="5"/>
        <v>96.588208639705883</v>
      </c>
      <c r="I58" s="157">
        <f t="shared" si="6"/>
        <v>6.0332064824356317</v>
      </c>
      <c r="J58" s="276">
        <v>217600000</v>
      </c>
      <c r="K58" s="262">
        <f t="shared" si="0"/>
        <v>100</v>
      </c>
      <c r="L58" s="235">
        <v>105428442</v>
      </c>
      <c r="M58" s="235"/>
      <c r="N58" s="221">
        <v>210175942</v>
      </c>
      <c r="O58" s="73">
        <f t="shared" si="11"/>
        <v>96.588208639705883</v>
      </c>
      <c r="P58" s="278">
        <f t="shared" si="10"/>
        <v>96.588208639705883</v>
      </c>
      <c r="Q58" s="252">
        <f t="shared" si="2"/>
        <v>3.4117913602941172</v>
      </c>
      <c r="R58" s="166">
        <f t="shared" si="1"/>
        <v>7424058</v>
      </c>
      <c r="S58" s="73">
        <f t="shared" si="8"/>
        <v>3.4117913602941177</v>
      </c>
      <c r="T58" s="157">
        <v>100</v>
      </c>
      <c r="U58" s="276" t="s">
        <v>427</v>
      </c>
    </row>
    <row r="59" spans="1:21" s="230" customFormat="1" ht="23.45" customHeight="1" x14ac:dyDescent="0.2">
      <c r="A59" s="173" t="s">
        <v>101</v>
      </c>
      <c r="B59" s="239" t="s">
        <v>370</v>
      </c>
      <c r="C59" s="229" t="str">
        <f>[2]Sheet1!$I$89</f>
        <v>Program perencanaan sosial dan budaya</v>
      </c>
      <c r="D59" s="222">
        <f>SUM(D60:D66)</f>
        <v>1409510000</v>
      </c>
      <c r="E59" s="158"/>
      <c r="F59" s="156">
        <f>D59/D14*100</f>
        <v>9.5111239758386308</v>
      </c>
      <c r="G59" s="156">
        <f>AVERAGE(G60:G65)</f>
        <v>100</v>
      </c>
      <c r="H59" s="156">
        <f t="shared" si="5"/>
        <v>93.138674149172402</v>
      </c>
      <c r="I59" s="156">
        <f t="shared" si="6"/>
        <v>8.8585347677801529</v>
      </c>
      <c r="J59" s="222">
        <f>SUM(J60:J66)</f>
        <v>1409510000</v>
      </c>
      <c r="K59" s="263">
        <f t="shared" si="0"/>
        <v>100</v>
      </c>
      <c r="L59" s="223">
        <f>SUM(L60:L66)</f>
        <v>265294300</v>
      </c>
      <c r="M59" s="223">
        <f>SUM(M60:M66)</f>
        <v>164907000</v>
      </c>
      <c r="N59" s="222">
        <f>SUM(N60:N66)</f>
        <v>1312798926</v>
      </c>
      <c r="O59" s="163">
        <f>P59</f>
        <v>93.138674149172402</v>
      </c>
      <c r="P59" s="309">
        <f t="shared" si="10"/>
        <v>93.138674149172402</v>
      </c>
      <c r="Q59" s="251">
        <f t="shared" si="2"/>
        <v>6.8613258508275976</v>
      </c>
      <c r="R59" s="165">
        <f t="shared" si="1"/>
        <v>96711074</v>
      </c>
      <c r="S59" s="163">
        <f t="shared" si="8"/>
        <v>6.8613258508275932</v>
      </c>
      <c r="T59" s="292"/>
      <c r="U59" s="292"/>
    </row>
    <row r="60" spans="1:21" ht="35.450000000000003" customHeight="1" x14ac:dyDescent="0.2">
      <c r="A60" s="172"/>
      <c r="B60" s="204" t="s">
        <v>376</v>
      </c>
      <c r="C60" s="189" t="s">
        <v>375</v>
      </c>
      <c r="D60" s="276">
        <v>250000000</v>
      </c>
      <c r="E60" s="244" t="s">
        <v>401</v>
      </c>
      <c r="F60" s="157">
        <f>D60/D59*100</f>
        <v>17.736660257820095</v>
      </c>
      <c r="G60" s="157">
        <v>100</v>
      </c>
      <c r="H60" s="157">
        <f t="shared" si="5"/>
        <v>98.413520000000005</v>
      </c>
      <c r="I60" s="157">
        <f t="shared" si="6"/>
        <v>17.45527169016183</v>
      </c>
      <c r="J60" s="276">
        <v>250000000</v>
      </c>
      <c r="K60" s="262">
        <f t="shared" si="0"/>
        <v>100</v>
      </c>
      <c r="L60" s="235">
        <v>96813800</v>
      </c>
      <c r="M60" s="235">
        <v>13600000</v>
      </c>
      <c r="N60" s="221">
        <v>246033800</v>
      </c>
      <c r="O60" s="73">
        <f t="shared" si="11"/>
        <v>98.413520000000005</v>
      </c>
      <c r="P60" s="278">
        <f t="shared" si="10"/>
        <v>98.413520000000005</v>
      </c>
      <c r="Q60" s="252">
        <f t="shared" si="2"/>
        <v>1.5864799999999946</v>
      </c>
      <c r="R60" s="166">
        <f t="shared" si="1"/>
        <v>3966200</v>
      </c>
      <c r="S60" s="73">
        <f t="shared" si="8"/>
        <v>1.5864799999999999</v>
      </c>
      <c r="T60" s="293">
        <v>70</v>
      </c>
      <c r="U60" s="293" t="s">
        <v>436</v>
      </c>
    </row>
    <row r="61" spans="1:21" ht="30.95" customHeight="1" x14ac:dyDescent="0.2">
      <c r="A61" s="172"/>
      <c r="B61" s="204" t="s">
        <v>377</v>
      </c>
      <c r="C61" s="192" t="s">
        <v>160</v>
      </c>
      <c r="D61" s="276">
        <v>145120000</v>
      </c>
      <c r="E61" s="244" t="s">
        <v>401</v>
      </c>
      <c r="F61" s="157">
        <f>D61/D59*100</f>
        <v>10.295776546459408</v>
      </c>
      <c r="G61" s="157">
        <v>100</v>
      </c>
      <c r="H61" s="157">
        <f t="shared" si="5"/>
        <v>83.371692392502766</v>
      </c>
      <c r="I61" s="157">
        <f t="shared" si="6"/>
        <v>8.5837631517335815</v>
      </c>
      <c r="J61" s="276">
        <v>145120000</v>
      </c>
      <c r="K61" s="262">
        <f t="shared" si="0"/>
        <v>100</v>
      </c>
      <c r="L61" s="235">
        <v>20400000</v>
      </c>
      <c r="M61" s="235">
        <v>46480000</v>
      </c>
      <c r="N61" s="221">
        <v>120989000</v>
      </c>
      <c r="O61" s="272">
        <f t="shared" si="11"/>
        <v>83.371692392502766</v>
      </c>
      <c r="P61" s="278">
        <f t="shared" si="10"/>
        <v>83.371692392502766</v>
      </c>
      <c r="Q61" s="252">
        <f t="shared" si="2"/>
        <v>16.628307607497234</v>
      </c>
      <c r="R61" s="166">
        <f t="shared" si="1"/>
        <v>24131000</v>
      </c>
      <c r="S61" s="73">
        <f t="shared" si="8"/>
        <v>16.628307607497245</v>
      </c>
      <c r="T61" s="293">
        <v>70</v>
      </c>
      <c r="U61" s="293" t="s">
        <v>438</v>
      </c>
    </row>
    <row r="62" spans="1:21" ht="34.5" customHeight="1" x14ac:dyDescent="0.2">
      <c r="A62" s="172"/>
      <c r="B62" s="204" t="s">
        <v>371</v>
      </c>
      <c r="C62" s="189" t="s">
        <v>378</v>
      </c>
      <c r="D62" s="276">
        <v>212250000</v>
      </c>
      <c r="E62" s="244" t="s">
        <v>401</v>
      </c>
      <c r="F62" s="157">
        <f>D62/D59*100</f>
        <v>15.058424558889261</v>
      </c>
      <c r="G62" s="157">
        <v>100</v>
      </c>
      <c r="H62" s="157">
        <f t="shared" si="5"/>
        <v>94.048998822143702</v>
      </c>
      <c r="I62" s="157">
        <f t="shared" si="6"/>
        <v>14.162297536023159</v>
      </c>
      <c r="J62" s="276">
        <v>212250000</v>
      </c>
      <c r="K62" s="262">
        <f t="shared" si="0"/>
        <v>100</v>
      </c>
      <c r="L62" s="235">
        <v>59517000</v>
      </c>
      <c r="M62" s="235">
        <v>48910000</v>
      </c>
      <c r="N62" s="221">
        <v>199619000</v>
      </c>
      <c r="O62" s="73">
        <f t="shared" si="11"/>
        <v>94.048998822143702</v>
      </c>
      <c r="P62" s="278">
        <f t="shared" si="10"/>
        <v>94.048998822143702</v>
      </c>
      <c r="Q62" s="252">
        <f t="shared" si="2"/>
        <v>5.9510011778562983</v>
      </c>
      <c r="R62" s="166">
        <f t="shared" si="1"/>
        <v>12631000</v>
      </c>
      <c r="S62" s="73">
        <f t="shared" si="8"/>
        <v>5.951001177856301</v>
      </c>
      <c r="T62" s="293">
        <v>80</v>
      </c>
      <c r="U62" s="293" t="s">
        <v>439</v>
      </c>
    </row>
    <row r="63" spans="1:21" ht="21" x14ac:dyDescent="0.2">
      <c r="A63" s="172"/>
      <c r="B63" s="204" t="s">
        <v>379</v>
      </c>
      <c r="C63" s="189" t="s">
        <v>380</v>
      </c>
      <c r="D63" s="276">
        <v>194700000</v>
      </c>
      <c r="E63" s="244" t="s">
        <v>401</v>
      </c>
      <c r="F63" s="157">
        <f>D63/D59*100</f>
        <v>13.813311008790288</v>
      </c>
      <c r="G63" s="157">
        <v>100</v>
      </c>
      <c r="H63" s="157">
        <f t="shared" si="5"/>
        <v>94.333603492552641</v>
      </c>
      <c r="I63" s="157">
        <f t="shared" si="6"/>
        <v>13.030594036225354</v>
      </c>
      <c r="J63" s="276">
        <v>194700000</v>
      </c>
      <c r="K63" s="262">
        <f t="shared" si="0"/>
        <v>100</v>
      </c>
      <c r="L63" s="235">
        <v>56265000</v>
      </c>
      <c r="M63" s="235"/>
      <c r="N63" s="221">
        <v>183667526</v>
      </c>
      <c r="O63" s="278">
        <f t="shared" si="11"/>
        <v>94.333603492552641</v>
      </c>
      <c r="P63" s="278">
        <f t="shared" si="10"/>
        <v>94.333603492552641</v>
      </c>
      <c r="Q63" s="252">
        <f t="shared" si="2"/>
        <v>5.6663965074473595</v>
      </c>
      <c r="R63" s="166">
        <f t="shared" si="1"/>
        <v>11032474</v>
      </c>
      <c r="S63" s="73">
        <f t="shared" si="8"/>
        <v>5.666396507447355</v>
      </c>
      <c r="T63" s="293">
        <v>90</v>
      </c>
      <c r="U63" s="293" t="s">
        <v>440</v>
      </c>
    </row>
    <row r="64" spans="1:21" ht="21" x14ac:dyDescent="0.2">
      <c r="A64" s="172"/>
      <c r="B64" s="204" t="s">
        <v>372</v>
      </c>
      <c r="C64" s="189" t="s">
        <v>381</v>
      </c>
      <c r="D64" s="276">
        <v>207440000</v>
      </c>
      <c r="E64" s="244" t="s">
        <v>401</v>
      </c>
      <c r="F64" s="157">
        <f>D64/D59*100</f>
        <v>14.717171215528801</v>
      </c>
      <c r="G64" s="157">
        <v>100</v>
      </c>
      <c r="H64" s="157">
        <f t="shared" si="5"/>
        <v>91.229271114539145</v>
      </c>
      <c r="I64" s="157">
        <f t="shared" si="6"/>
        <v>13.426368028605687</v>
      </c>
      <c r="J64" s="276">
        <v>207440000</v>
      </c>
      <c r="K64" s="262">
        <f t="shared" si="0"/>
        <v>100</v>
      </c>
      <c r="L64" s="235"/>
      <c r="M64" s="235">
        <v>11237000</v>
      </c>
      <c r="N64" s="221">
        <v>189246000</v>
      </c>
      <c r="O64" s="278">
        <f t="shared" si="11"/>
        <v>91.229271114539145</v>
      </c>
      <c r="P64" s="278">
        <f t="shared" si="10"/>
        <v>91.229271114539145</v>
      </c>
      <c r="Q64" s="252">
        <f t="shared" si="2"/>
        <v>8.7707288854608549</v>
      </c>
      <c r="R64" s="166">
        <f t="shared" si="1"/>
        <v>18194000</v>
      </c>
      <c r="S64" s="73">
        <f t="shared" si="8"/>
        <v>8.7707288854608567</v>
      </c>
      <c r="T64" s="293">
        <v>85</v>
      </c>
      <c r="U64" s="293" t="s">
        <v>437</v>
      </c>
    </row>
    <row r="65" spans="1:21" ht="21" x14ac:dyDescent="0.2">
      <c r="A65" s="172"/>
      <c r="B65" s="203" t="s">
        <v>373</v>
      </c>
      <c r="C65" s="189" t="s">
        <v>158</v>
      </c>
      <c r="D65" s="276">
        <v>200000000</v>
      </c>
      <c r="E65" s="244" t="s">
        <v>401</v>
      </c>
      <c r="F65" s="157">
        <f>D65/D59*100</f>
        <v>14.189328206256075</v>
      </c>
      <c r="G65" s="157">
        <v>100</v>
      </c>
      <c r="H65" s="157">
        <f t="shared" si="5"/>
        <v>98.847549999999998</v>
      </c>
      <c r="I65" s="157">
        <f t="shared" si="6"/>
        <v>14.025803293343076</v>
      </c>
      <c r="J65" s="276">
        <v>200000000</v>
      </c>
      <c r="K65" s="262">
        <f t="shared" si="0"/>
        <v>100</v>
      </c>
      <c r="L65" s="235"/>
      <c r="M65" s="235"/>
      <c r="N65" s="221">
        <v>197695100</v>
      </c>
      <c r="O65" s="278">
        <f t="shared" si="11"/>
        <v>98.847549999999998</v>
      </c>
      <c r="P65" s="278">
        <f t="shared" si="10"/>
        <v>98.847549999999998</v>
      </c>
      <c r="Q65" s="252">
        <f t="shared" si="2"/>
        <v>1.1524500000000018</v>
      </c>
      <c r="R65" s="166">
        <f t="shared" si="1"/>
        <v>2304900</v>
      </c>
      <c r="S65" s="73">
        <f t="shared" si="8"/>
        <v>1.15245</v>
      </c>
      <c r="T65" s="293">
        <v>95</v>
      </c>
      <c r="U65" s="189" t="s">
        <v>442</v>
      </c>
    </row>
    <row r="66" spans="1:21" ht="21" x14ac:dyDescent="0.2">
      <c r="A66" s="172"/>
      <c r="B66" s="204" t="s">
        <v>374</v>
      </c>
      <c r="C66" s="192" t="s">
        <v>162</v>
      </c>
      <c r="D66" s="276">
        <v>200000000</v>
      </c>
      <c r="E66" s="244" t="s">
        <v>401</v>
      </c>
      <c r="F66" s="157">
        <f>D66/D59*100</f>
        <v>14.189328206256075</v>
      </c>
      <c r="G66" s="157">
        <v>100</v>
      </c>
      <c r="H66" s="157">
        <f t="shared" si="5"/>
        <v>87.774249999999995</v>
      </c>
      <c r="I66" s="157">
        <f t="shared" si="6"/>
        <v>12.454576413079721</v>
      </c>
      <c r="J66" s="276">
        <v>200000000</v>
      </c>
      <c r="K66" s="262">
        <f t="shared" si="0"/>
        <v>100</v>
      </c>
      <c r="L66" s="235">
        <v>32298500</v>
      </c>
      <c r="M66" s="235">
        <v>44680000</v>
      </c>
      <c r="N66" s="221">
        <v>175548500</v>
      </c>
      <c r="O66" s="272">
        <f t="shared" si="11"/>
        <v>87.774249999999995</v>
      </c>
      <c r="P66" s="278">
        <f t="shared" si="10"/>
        <v>87.774249999999995</v>
      </c>
      <c r="Q66" s="252">
        <f t="shared" si="2"/>
        <v>12.225750000000005</v>
      </c>
      <c r="R66" s="166">
        <f t="shared" si="1"/>
        <v>24451500</v>
      </c>
      <c r="S66" s="73">
        <f t="shared" si="8"/>
        <v>12.22575</v>
      </c>
      <c r="T66" s="293">
        <v>50</v>
      </c>
      <c r="U66" s="293" t="s">
        <v>441</v>
      </c>
    </row>
    <row r="67" spans="1:21" s="230" customFormat="1" ht="43.5" customHeight="1" x14ac:dyDescent="0.2">
      <c r="A67" s="173" t="s">
        <v>104</v>
      </c>
      <c r="B67" s="240" t="s">
        <v>383</v>
      </c>
      <c r="C67" s="228" t="s">
        <v>292</v>
      </c>
      <c r="D67" s="222">
        <f>SUM(D68:D74)</f>
        <v>2064834200</v>
      </c>
      <c r="E67" s="158"/>
      <c r="F67" s="156">
        <f>D67/D14*100</f>
        <v>13.933135675342198</v>
      </c>
      <c r="G67" s="156">
        <f>AVERAGE(G68:G71)</f>
        <v>100</v>
      </c>
      <c r="H67" s="156">
        <f t="shared" si="5"/>
        <v>94.186229722463906</v>
      </c>
      <c r="I67" s="156">
        <f t="shared" si="6"/>
        <v>13.123095174720376</v>
      </c>
      <c r="J67" s="222">
        <f>SUM(J68:J74)</f>
        <v>2064834200</v>
      </c>
      <c r="K67" s="263">
        <f t="shared" si="0"/>
        <v>100</v>
      </c>
      <c r="L67" s="223">
        <f>SUM(L68:L74)</f>
        <v>156572398</v>
      </c>
      <c r="M67" s="223">
        <f>SUM(M68:M74)</f>
        <v>7440000</v>
      </c>
      <c r="N67" s="222">
        <f>SUM(N68:N74)</f>
        <v>1944789483</v>
      </c>
      <c r="O67" s="163">
        <f>P67</f>
        <v>94.186229722463906</v>
      </c>
      <c r="P67" s="309">
        <f t="shared" si="10"/>
        <v>94.186229722463906</v>
      </c>
      <c r="Q67" s="251">
        <f t="shared" si="2"/>
        <v>5.8137702775360935</v>
      </c>
      <c r="R67" s="165">
        <f t="shared" si="1"/>
        <v>120044717</v>
      </c>
      <c r="S67" s="163">
        <f t="shared" si="8"/>
        <v>5.8137702775360856</v>
      </c>
      <c r="T67" s="292"/>
      <c r="U67" s="292"/>
    </row>
    <row r="68" spans="1:21" ht="32.450000000000003" customHeight="1" x14ac:dyDescent="0.2">
      <c r="A68" s="172"/>
      <c r="B68" s="241" t="s">
        <v>384</v>
      </c>
      <c r="C68" s="192" t="s">
        <v>396</v>
      </c>
      <c r="D68" s="276">
        <v>200000000</v>
      </c>
      <c r="E68" s="244" t="s">
        <v>401</v>
      </c>
      <c r="F68" s="157">
        <f>D68/D67*100</f>
        <v>9.6860077191669927</v>
      </c>
      <c r="G68" s="157">
        <v>100</v>
      </c>
      <c r="H68" s="157">
        <f t="shared" si="5"/>
        <v>96.302475000000001</v>
      </c>
      <c r="I68" s="157">
        <f t="shared" si="6"/>
        <v>9.3278651622488624</v>
      </c>
      <c r="J68" s="276">
        <v>200000000</v>
      </c>
      <c r="K68" s="262">
        <f t="shared" si="0"/>
        <v>100</v>
      </c>
      <c r="L68" s="235">
        <v>37870000</v>
      </c>
      <c r="M68" s="235"/>
      <c r="N68" s="221">
        <v>192604950</v>
      </c>
      <c r="O68" s="278">
        <f t="shared" ref="O68:O74" si="12">P68</f>
        <v>96.302475000000001</v>
      </c>
      <c r="P68" s="278">
        <f t="shared" si="10"/>
        <v>96.302475000000001</v>
      </c>
      <c r="Q68" s="252">
        <f t="shared" si="2"/>
        <v>3.6975249999999988</v>
      </c>
      <c r="R68" s="166">
        <f t="shared" si="1"/>
        <v>7395050</v>
      </c>
      <c r="S68" s="73">
        <f t="shared" si="8"/>
        <v>3.6975250000000002</v>
      </c>
      <c r="T68" s="293">
        <v>100</v>
      </c>
      <c r="U68" s="293" t="s">
        <v>443</v>
      </c>
    </row>
    <row r="69" spans="1:21" ht="35.1" customHeight="1" x14ac:dyDescent="0.2">
      <c r="A69" s="172"/>
      <c r="B69" s="241" t="s">
        <v>385</v>
      </c>
      <c r="C69" s="192" t="s">
        <v>201</v>
      </c>
      <c r="D69" s="276">
        <v>264834200</v>
      </c>
      <c r="E69" s="244" t="s">
        <v>401</v>
      </c>
      <c r="F69" s="157">
        <f>D69/D67*100</f>
        <v>12.825930527497075</v>
      </c>
      <c r="G69" s="157">
        <v>100</v>
      </c>
      <c r="H69" s="157">
        <f t="shared" si="5"/>
        <v>90.51450190345507</v>
      </c>
      <c r="I69" s="157">
        <f t="shared" si="6"/>
        <v>11.609327131447165</v>
      </c>
      <c r="J69" s="276">
        <v>264834200</v>
      </c>
      <c r="K69" s="262">
        <f t="shared" si="0"/>
        <v>100</v>
      </c>
      <c r="L69" s="235">
        <v>8070898</v>
      </c>
      <c r="M69" s="235"/>
      <c r="N69" s="221">
        <v>239713357</v>
      </c>
      <c r="O69" s="278">
        <f t="shared" si="12"/>
        <v>90.51450190345507</v>
      </c>
      <c r="P69" s="278">
        <f t="shared" si="10"/>
        <v>90.51450190345507</v>
      </c>
      <c r="Q69" s="252">
        <f t="shared" si="2"/>
        <v>9.48549809654493</v>
      </c>
      <c r="R69" s="166">
        <f t="shared" si="1"/>
        <v>25120843</v>
      </c>
      <c r="S69" s="73">
        <f t="shared" si="8"/>
        <v>9.4854980965449318</v>
      </c>
      <c r="T69" s="293">
        <v>100</v>
      </c>
      <c r="U69" s="293" t="s">
        <v>444</v>
      </c>
    </row>
    <row r="70" spans="1:21" ht="23.45" customHeight="1" x14ac:dyDescent="0.2">
      <c r="A70" s="172"/>
      <c r="B70" s="241" t="s">
        <v>386</v>
      </c>
      <c r="C70" s="192" t="s">
        <v>203</v>
      </c>
      <c r="D70" s="276">
        <v>200000000</v>
      </c>
      <c r="E70" s="244" t="s">
        <v>401</v>
      </c>
      <c r="F70" s="157">
        <f>D70/D67*100</f>
        <v>9.6860077191669927</v>
      </c>
      <c r="G70" s="157">
        <v>100</v>
      </c>
      <c r="H70" s="157">
        <f t="shared" si="5"/>
        <v>94.75</v>
      </c>
      <c r="I70" s="157">
        <f t="shared" si="6"/>
        <v>9.1774923139107258</v>
      </c>
      <c r="J70" s="276">
        <v>200000000</v>
      </c>
      <c r="K70" s="262">
        <f t="shared" si="0"/>
        <v>100</v>
      </c>
      <c r="L70" s="235">
        <v>10726000</v>
      </c>
      <c r="M70" s="235"/>
      <c r="N70" s="221">
        <v>189500000</v>
      </c>
      <c r="O70" s="278">
        <f t="shared" si="12"/>
        <v>94.75</v>
      </c>
      <c r="P70" s="278">
        <f t="shared" si="10"/>
        <v>94.75</v>
      </c>
      <c r="Q70" s="252">
        <f t="shared" si="2"/>
        <v>5.25</v>
      </c>
      <c r="R70" s="166">
        <f t="shared" si="1"/>
        <v>10500000</v>
      </c>
      <c r="S70" s="73">
        <f t="shared" si="8"/>
        <v>5.25</v>
      </c>
      <c r="T70" s="293">
        <v>95</v>
      </c>
      <c r="U70" s="293" t="s">
        <v>448</v>
      </c>
    </row>
    <row r="71" spans="1:21" s="225" customFormat="1" ht="27.6" customHeight="1" x14ac:dyDescent="0.2">
      <c r="A71" s="273"/>
      <c r="B71" s="274" t="s">
        <v>387</v>
      </c>
      <c r="C71" s="275" t="s">
        <v>171</v>
      </c>
      <c r="D71" s="276">
        <v>225000000</v>
      </c>
      <c r="E71" s="277" t="s">
        <v>401</v>
      </c>
      <c r="F71" s="262">
        <f>D71/D67*100</f>
        <v>10.896758684062865</v>
      </c>
      <c r="G71" s="262">
        <v>100</v>
      </c>
      <c r="H71" s="262">
        <f t="shared" si="5"/>
        <v>92.085866666666675</v>
      </c>
      <c r="I71" s="262">
        <f t="shared" si="6"/>
        <v>10.034374672794552</v>
      </c>
      <c r="J71" s="276">
        <v>225000000</v>
      </c>
      <c r="K71" s="262">
        <f t="shared" si="0"/>
        <v>100</v>
      </c>
      <c r="L71" s="268">
        <v>3556000</v>
      </c>
      <c r="M71" s="268">
        <v>7440000</v>
      </c>
      <c r="N71" s="221">
        <v>207193200</v>
      </c>
      <c r="O71" s="278">
        <f t="shared" si="12"/>
        <v>92.085866666666675</v>
      </c>
      <c r="P71" s="278">
        <f t="shared" si="10"/>
        <v>92.085866666666675</v>
      </c>
      <c r="Q71" s="279">
        <f t="shared" si="2"/>
        <v>7.914133333333325</v>
      </c>
      <c r="R71" s="280">
        <f t="shared" si="1"/>
        <v>17806800</v>
      </c>
      <c r="S71" s="278">
        <f t="shared" si="8"/>
        <v>7.914133333333333</v>
      </c>
      <c r="T71" s="294">
        <v>100</v>
      </c>
      <c r="U71" s="294" t="s">
        <v>446</v>
      </c>
    </row>
    <row r="72" spans="1:21" ht="31.5" x14ac:dyDescent="0.2">
      <c r="A72" s="205"/>
      <c r="B72" s="242" t="s">
        <v>388</v>
      </c>
      <c r="C72" s="210" t="s">
        <v>382</v>
      </c>
      <c r="D72" s="284">
        <v>225000000</v>
      </c>
      <c r="E72" s="244" t="s">
        <v>401</v>
      </c>
      <c r="F72" s="157">
        <f>D72/D67*100</f>
        <v>10.896758684062865</v>
      </c>
      <c r="G72" s="157">
        <v>100</v>
      </c>
      <c r="H72" s="157">
        <f t="shared" si="5"/>
        <v>97.666755555555554</v>
      </c>
      <c r="I72" s="157">
        <f t="shared" si="6"/>
        <v>10.642510667442449</v>
      </c>
      <c r="J72" s="284">
        <v>225000000</v>
      </c>
      <c r="K72" s="262">
        <f t="shared" si="0"/>
        <v>100</v>
      </c>
      <c r="L72" s="235">
        <v>3822500</v>
      </c>
      <c r="M72" s="235"/>
      <c r="N72" s="221">
        <v>219750200</v>
      </c>
      <c r="O72" s="278">
        <f t="shared" si="12"/>
        <v>97.666755555555554</v>
      </c>
      <c r="P72" s="278">
        <f t="shared" si="10"/>
        <v>97.666755555555554</v>
      </c>
      <c r="Q72" s="279">
        <f t="shared" si="2"/>
        <v>2.3332444444444462</v>
      </c>
      <c r="R72" s="166">
        <f t="shared" si="1"/>
        <v>5249800</v>
      </c>
      <c r="S72" s="73">
        <f t="shared" si="8"/>
        <v>2.3332444444444445</v>
      </c>
      <c r="T72" s="295">
        <v>70</v>
      </c>
      <c r="U72" s="295" t="s">
        <v>447</v>
      </c>
    </row>
    <row r="73" spans="1:21" s="225" customFormat="1" ht="26.1" customHeight="1" x14ac:dyDescent="0.2">
      <c r="A73" s="281"/>
      <c r="B73" s="282" t="s">
        <v>389</v>
      </c>
      <c r="C73" s="283" t="s">
        <v>304</v>
      </c>
      <c r="D73" s="284">
        <v>250000000</v>
      </c>
      <c r="E73" s="277" t="s">
        <v>401</v>
      </c>
      <c r="F73" s="262">
        <f>D73/D67*100</f>
        <v>12.107509648958739</v>
      </c>
      <c r="G73" s="262">
        <v>100</v>
      </c>
      <c r="H73" s="262">
        <f t="shared" si="5"/>
        <v>95.339600000000004</v>
      </c>
      <c r="I73" s="262">
        <f t="shared" si="6"/>
        <v>11.543251269278667</v>
      </c>
      <c r="J73" s="284">
        <v>250000000</v>
      </c>
      <c r="K73" s="262">
        <f t="shared" si="0"/>
        <v>100</v>
      </c>
      <c r="L73" s="268">
        <v>3713000</v>
      </c>
      <c r="M73" s="268">
        <v>0</v>
      </c>
      <c r="N73" s="221">
        <v>238349000</v>
      </c>
      <c r="O73" s="278">
        <f t="shared" si="12"/>
        <v>95.339600000000004</v>
      </c>
      <c r="P73" s="278">
        <f t="shared" si="10"/>
        <v>95.339600000000004</v>
      </c>
      <c r="Q73" s="279">
        <f t="shared" si="2"/>
        <v>4.6603999999999957</v>
      </c>
      <c r="R73" s="280">
        <f t="shared" si="1"/>
        <v>11651000</v>
      </c>
      <c r="S73" s="278">
        <f t="shared" si="8"/>
        <v>4.6604000000000001</v>
      </c>
      <c r="T73" s="294">
        <v>100</v>
      </c>
      <c r="U73" s="294" t="s">
        <v>445</v>
      </c>
    </row>
    <row r="74" spans="1:21" ht="21" x14ac:dyDescent="0.2">
      <c r="A74" s="206"/>
      <c r="B74" s="243" t="s">
        <v>390</v>
      </c>
      <c r="C74" s="211" t="s">
        <v>305</v>
      </c>
      <c r="D74" s="290">
        <v>700000000</v>
      </c>
      <c r="E74" s="249" t="s">
        <v>401</v>
      </c>
      <c r="F74" s="207">
        <f>D74/D67*100</f>
        <v>33.901027017084473</v>
      </c>
      <c r="G74" s="207">
        <v>100</v>
      </c>
      <c r="H74" s="207">
        <f t="shared" si="5"/>
        <v>93.954110857142865</v>
      </c>
      <c r="I74" s="207">
        <f t="shared" si="6"/>
        <v>31.851408505341499</v>
      </c>
      <c r="J74" s="290">
        <v>700000000</v>
      </c>
      <c r="K74" s="285">
        <f t="shared" si="0"/>
        <v>100</v>
      </c>
      <c r="L74" s="236">
        <f>14454000+74360000</f>
        <v>88814000</v>
      </c>
      <c r="M74" s="236"/>
      <c r="N74" s="250">
        <v>657678776</v>
      </c>
      <c r="O74" s="310">
        <f t="shared" si="12"/>
        <v>93.954110857142865</v>
      </c>
      <c r="P74" s="310">
        <f t="shared" si="10"/>
        <v>93.954110857142865</v>
      </c>
      <c r="Q74" s="253">
        <f t="shared" si="2"/>
        <v>6.0458891428571349</v>
      </c>
      <c r="R74" s="209">
        <f t="shared" si="1"/>
        <v>42321224</v>
      </c>
      <c r="S74" s="208">
        <f t="shared" si="8"/>
        <v>6.0458891428571429</v>
      </c>
      <c r="T74" s="296">
        <v>80</v>
      </c>
      <c r="U74" s="296" t="s">
        <v>449</v>
      </c>
    </row>
    <row r="75" spans="1:21" ht="3" customHeight="1" x14ac:dyDescent="0.2">
      <c r="A75" s="153"/>
      <c r="B75" s="95"/>
      <c r="E75" s="246"/>
      <c r="F75" s="153"/>
      <c r="G75" s="153"/>
      <c r="H75" s="153"/>
      <c r="I75" s="153"/>
      <c r="L75" s="237"/>
      <c r="M75" s="237"/>
      <c r="R75" s="153"/>
      <c r="S75" s="153"/>
      <c r="T75" s="153"/>
      <c r="U75" s="153"/>
    </row>
    <row r="76" spans="1:21" x14ac:dyDescent="0.2">
      <c r="O76" s="225"/>
      <c r="P76" s="315" t="s">
        <v>458</v>
      </c>
      <c r="Q76" s="315"/>
      <c r="R76" s="315"/>
      <c r="S76" s="315"/>
      <c r="T76" s="301"/>
      <c r="U76" s="301"/>
    </row>
    <row r="77" spans="1:21" x14ac:dyDescent="0.2">
      <c r="O77" s="225"/>
      <c r="P77" s="315" t="s">
        <v>172</v>
      </c>
      <c r="Q77" s="315"/>
      <c r="R77" s="315"/>
      <c r="S77" s="315"/>
      <c r="T77" s="301"/>
      <c r="U77" s="301"/>
    </row>
    <row r="78" spans="1:21" x14ac:dyDescent="0.2">
      <c r="O78" s="301"/>
      <c r="P78" s="311"/>
      <c r="Q78" s="301"/>
      <c r="R78" s="301"/>
      <c r="S78" s="301"/>
      <c r="T78" s="301"/>
      <c r="U78" s="301"/>
    </row>
    <row r="79" spans="1:21" x14ac:dyDescent="0.2">
      <c r="R79" s="168"/>
      <c r="S79" s="169"/>
      <c r="T79" s="169"/>
      <c r="U79" s="169"/>
    </row>
    <row r="80" spans="1:21" s="214" customFormat="1" ht="17.100000000000001" customHeight="1" x14ac:dyDescent="0.2">
      <c r="A80" s="154"/>
      <c r="B80" s="1"/>
      <c r="C80" s="95"/>
      <c r="D80" s="266"/>
      <c r="E80" s="247"/>
      <c r="F80" s="154"/>
      <c r="G80" s="154"/>
      <c r="H80" s="154"/>
      <c r="I80" s="154"/>
      <c r="J80" s="265"/>
      <c r="K80" s="266"/>
      <c r="L80" s="238"/>
      <c r="M80" s="238"/>
      <c r="N80" s="225"/>
      <c r="O80" s="153"/>
      <c r="P80" s="266"/>
      <c r="Q80" s="153"/>
      <c r="R80" s="168"/>
      <c r="S80" s="169"/>
      <c r="T80" s="169"/>
      <c r="U80" s="169"/>
    </row>
    <row r="81" spans="1:21" s="214" customFormat="1" x14ac:dyDescent="0.2">
      <c r="A81" s="154"/>
      <c r="B81" s="1"/>
      <c r="C81" s="95"/>
      <c r="D81" s="266"/>
      <c r="E81" s="247"/>
      <c r="F81" s="154"/>
      <c r="G81" s="154"/>
      <c r="H81" s="154"/>
      <c r="I81" s="154"/>
      <c r="J81" s="265"/>
      <c r="K81" s="266"/>
      <c r="L81" s="238"/>
      <c r="M81" s="238"/>
      <c r="N81" s="226"/>
      <c r="O81" s="226"/>
      <c r="P81" s="350" t="s">
        <v>406</v>
      </c>
      <c r="Q81" s="350"/>
      <c r="R81" s="350"/>
      <c r="S81" s="350"/>
      <c r="T81" s="305"/>
      <c r="U81" s="305"/>
    </row>
    <row r="82" spans="1:21" s="214" customFormat="1" x14ac:dyDescent="0.2">
      <c r="A82" s="154"/>
      <c r="B82" s="1"/>
      <c r="C82" s="95"/>
      <c r="D82" s="266"/>
      <c r="E82" s="247"/>
      <c r="F82" s="154"/>
      <c r="G82" s="154"/>
      <c r="H82" s="154"/>
      <c r="I82" s="154"/>
      <c r="J82" s="265"/>
      <c r="K82" s="266"/>
      <c r="L82" s="238"/>
      <c r="M82" s="238"/>
      <c r="N82" s="227"/>
      <c r="O82" s="227"/>
      <c r="P82" s="317" t="s">
        <v>394</v>
      </c>
      <c r="Q82" s="317"/>
      <c r="R82" s="317"/>
      <c r="S82" s="317"/>
      <c r="T82" s="302"/>
      <c r="U82" s="302"/>
    </row>
    <row r="83" spans="1:21" s="214" customFormat="1" x14ac:dyDescent="0.2">
      <c r="A83" s="154"/>
      <c r="B83" s="1"/>
      <c r="C83" s="95"/>
      <c r="D83" s="266"/>
      <c r="E83" s="247"/>
      <c r="F83" s="154"/>
      <c r="G83" s="154"/>
      <c r="H83" s="154"/>
      <c r="I83" s="154"/>
      <c r="J83" s="265"/>
      <c r="K83" s="266"/>
      <c r="L83" s="238"/>
      <c r="M83" s="238"/>
      <c r="N83" s="225"/>
      <c r="O83" s="153"/>
      <c r="P83" s="266"/>
      <c r="Q83" s="153"/>
      <c r="R83" s="153"/>
      <c r="S83" s="154"/>
      <c r="T83" s="154"/>
      <c r="U83" s="154"/>
    </row>
    <row r="86" spans="1:21" s="214" customFormat="1" x14ac:dyDescent="0.2">
      <c r="A86" s="154" t="s">
        <v>198</v>
      </c>
      <c r="B86" s="1"/>
      <c r="C86" s="95"/>
      <c r="D86" s="266"/>
      <c r="E86" s="247"/>
      <c r="F86" s="154"/>
      <c r="G86" s="154"/>
      <c r="H86" s="154"/>
      <c r="I86" s="154"/>
      <c r="J86" s="265"/>
      <c r="K86" s="266"/>
      <c r="L86" s="238"/>
      <c r="M86" s="238"/>
      <c r="N86" s="225"/>
      <c r="O86" s="153"/>
      <c r="P86" s="266"/>
      <c r="Q86" s="153"/>
      <c r="R86" s="154"/>
      <c r="S86" s="154"/>
      <c r="T86" s="154"/>
      <c r="U86" s="154"/>
    </row>
    <row r="87" spans="1:21" s="214" customFormat="1" x14ac:dyDescent="0.2">
      <c r="A87" s="154"/>
      <c r="B87" s="1"/>
      <c r="C87" s="95"/>
      <c r="D87" s="291"/>
      <c r="E87" s="248"/>
      <c r="F87" s="154"/>
      <c r="G87" s="154"/>
      <c r="H87" s="154"/>
      <c r="I87" s="154"/>
      <c r="J87" s="265"/>
      <c r="K87" s="266"/>
      <c r="L87" s="238"/>
      <c r="M87" s="238"/>
      <c r="N87" s="225"/>
      <c r="O87" s="153"/>
      <c r="P87" s="266"/>
      <c r="Q87" s="153"/>
      <c r="R87" s="154"/>
      <c r="S87" s="154"/>
      <c r="T87" s="154"/>
      <c r="U87" s="154"/>
    </row>
    <row r="89" spans="1:21" s="214" customFormat="1" x14ac:dyDescent="0.2">
      <c r="A89" s="154"/>
      <c r="B89" s="1"/>
      <c r="C89" s="95"/>
      <c r="D89" s="266"/>
      <c r="E89" s="247"/>
      <c r="F89" s="154"/>
      <c r="G89" s="154"/>
      <c r="H89" s="154"/>
      <c r="I89" s="154"/>
      <c r="J89" s="265"/>
      <c r="K89" s="266"/>
      <c r="L89" s="238"/>
      <c r="M89" s="238"/>
      <c r="N89" s="225"/>
      <c r="O89" s="153"/>
      <c r="P89" s="266"/>
      <c r="Q89" s="153"/>
      <c r="R89" s="154"/>
      <c r="S89" s="154"/>
      <c r="T89" s="154"/>
      <c r="U89" s="154"/>
    </row>
  </sheetData>
  <mergeCells count="28">
    <mergeCell ref="P76:S76"/>
    <mergeCell ref="P77:S77"/>
    <mergeCell ref="A4:C4"/>
    <mergeCell ref="R4:S4"/>
    <mergeCell ref="A6:A8"/>
    <mergeCell ref="B6:B8"/>
    <mergeCell ref="C6:C8"/>
    <mergeCell ref="D6:D8"/>
    <mergeCell ref="E6:E8"/>
    <mergeCell ref="F6:F8"/>
    <mergeCell ref="G6:G8"/>
    <mergeCell ref="S6:S8"/>
    <mergeCell ref="A1:U1"/>
    <mergeCell ref="P81:S81"/>
    <mergeCell ref="P82:S82"/>
    <mergeCell ref="H7:I7"/>
    <mergeCell ref="J7:K7"/>
    <mergeCell ref="L7:L8"/>
    <mergeCell ref="M7:M8"/>
    <mergeCell ref="N7:N8"/>
    <mergeCell ref="T7:T8"/>
    <mergeCell ref="U7:U8"/>
    <mergeCell ref="T6:U6"/>
    <mergeCell ref="H6:P6"/>
    <mergeCell ref="Q6:Q8"/>
    <mergeCell ref="R6:R8"/>
    <mergeCell ref="A2:U2"/>
    <mergeCell ref="B9:C9"/>
  </mergeCells>
  <printOptions horizontalCentered="1"/>
  <pageMargins left="0" right="0" top="0.74803149606299213" bottom="0.27559055118110237" header="0.15748031496062992" footer="0.15748031496062992"/>
  <pageSetup paperSize="258" scale="90" orientation="landscape" horizontalDpi="300" r:id="rId1"/>
  <rowBreaks count="3" manualBreakCount="3">
    <brk id="28" max="20" man="1"/>
    <brk id="46" max="20" man="1"/>
    <brk id="64" max="2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April 2018</vt:lpstr>
      <vt:lpstr>Lap.Bul. Mei 2017</vt:lpstr>
      <vt:lpstr>Sheet1</vt:lpstr>
      <vt:lpstr>Mei 2018</vt:lpstr>
      <vt:lpstr>Juli 2018</vt:lpstr>
      <vt:lpstr>Desember 2019</vt:lpstr>
      <vt:lpstr>'April 2018'!Print_Area</vt:lpstr>
      <vt:lpstr>'Desember 2019'!Print_Area</vt:lpstr>
      <vt:lpstr>'Juli 2018'!Print_Area</vt:lpstr>
      <vt:lpstr>'Lap.Bul. Mei 2017'!Print_Area</vt:lpstr>
      <vt:lpstr>'Mei 2018'!Print_Area</vt:lpstr>
      <vt:lpstr>Sheet1!Print_Area</vt:lpstr>
      <vt:lpstr>'April 2018'!Print_Titles</vt:lpstr>
      <vt:lpstr>'Desember 2019'!Print_Titles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Bintang_Angkasa</cp:lastModifiedBy>
  <cp:lastPrinted>2020-01-31T03:30:16Z</cp:lastPrinted>
  <dcterms:created xsi:type="dcterms:W3CDTF">2017-06-02T02:19:27Z</dcterms:created>
  <dcterms:modified xsi:type="dcterms:W3CDTF">2020-01-31T03:31:33Z</dcterms:modified>
</cp:coreProperties>
</file>