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160"/>
  </bookViews>
  <sheets>
    <sheet name="BM FIX" sheetId="8" r:id="rId1"/>
    <sheet name="Sheet2" sheetId="2" r:id="rId2"/>
    <sheet name="Sheet3" sheetId="3" r:id="rId3"/>
    <sheet name="Sheet4" sheetId="5" r:id="rId4"/>
  </sheets>
  <definedNames>
    <definedName name="_xlnm.Print_Titles" localSheetId="0">'BM FIX'!$5:$6</definedName>
    <definedName name="_xlnm.Print_Titles" localSheetId="1">Sheet2!$4:$5</definedName>
  </definedNames>
  <calcPr calcId="124519"/>
</workbook>
</file>

<file path=xl/calcChain.xml><?xml version="1.0" encoding="utf-8"?>
<calcChain xmlns="http://schemas.openxmlformats.org/spreadsheetml/2006/main">
  <c r="I31" i="8"/>
  <c r="I41"/>
  <c r="I42"/>
  <c r="I40"/>
  <c r="I35"/>
  <c r="I341" l="1"/>
  <c r="J341" s="1"/>
  <c r="J235"/>
  <c r="J233"/>
  <c r="J232"/>
  <c r="J231"/>
  <c r="L239" i="2"/>
  <c r="I47" i="8"/>
  <c r="I84" i="2"/>
  <c r="I537" i="8"/>
  <c r="I536"/>
  <c r="I535"/>
  <c r="I534"/>
  <c r="I533"/>
  <c r="I532"/>
  <c r="I531"/>
  <c r="I530"/>
  <c r="I523"/>
  <c r="I515"/>
  <c r="I500"/>
  <c r="I498"/>
  <c r="I497"/>
  <c r="I496"/>
  <c r="I495"/>
  <c r="J495" s="1"/>
  <c r="I494"/>
  <c r="I493"/>
  <c r="J493" s="1"/>
  <c r="I492"/>
  <c r="I483"/>
  <c r="J483" s="1"/>
  <c r="I460"/>
  <c r="I458"/>
  <c r="I457"/>
  <c r="I456"/>
  <c r="I455"/>
  <c r="I454"/>
  <c r="I453"/>
  <c r="I452"/>
  <c r="I442"/>
  <c r="I431"/>
  <c r="I426"/>
  <c r="I424"/>
  <c r="I423"/>
  <c r="I422"/>
  <c r="I421"/>
  <c r="I420"/>
  <c r="J420" s="1"/>
  <c r="I419"/>
  <c r="I418"/>
  <c r="J418" s="1"/>
  <c r="I411"/>
  <c r="I408"/>
  <c r="J408" s="1"/>
  <c r="I395"/>
  <c r="I387"/>
  <c r="I386"/>
  <c r="I385"/>
  <c r="I384"/>
  <c r="I383"/>
  <c r="I381"/>
  <c r="I373"/>
  <c r="I349"/>
  <c r="I347"/>
  <c r="J347" s="1"/>
  <c r="I346"/>
  <c r="J346" s="1"/>
  <c r="I345"/>
  <c r="J345" s="1"/>
  <c r="I344"/>
  <c r="J344" s="1"/>
  <c r="I343"/>
  <c r="J343" s="1"/>
  <c r="I342"/>
  <c r="J342" s="1"/>
  <c r="I340"/>
  <c r="J340" s="1"/>
  <c r="I333"/>
  <c r="I328"/>
  <c r="J328" s="1"/>
  <c r="I321"/>
  <c r="I310"/>
  <c r="I308"/>
  <c r="I307"/>
  <c r="I306"/>
  <c r="I305"/>
  <c r="I304"/>
  <c r="I303"/>
  <c r="J303" s="1"/>
  <c r="I302"/>
  <c r="I296"/>
  <c r="I291"/>
  <c r="I273"/>
  <c r="I271"/>
  <c r="I270"/>
  <c r="I269"/>
  <c r="I268"/>
  <c r="I267"/>
  <c r="I260"/>
  <c r="I250"/>
  <c r="I240"/>
  <c r="J240" s="1"/>
  <c r="I239"/>
  <c r="J239" s="1"/>
  <c r="I238"/>
  <c r="J238" s="1"/>
  <c r="I237"/>
  <c r="J237" s="1"/>
  <c r="I236"/>
  <c r="J236" s="1"/>
  <c r="I234"/>
  <c r="J234" s="1"/>
  <c r="I222"/>
  <c r="J222" s="1"/>
  <c r="I219"/>
  <c r="I207"/>
  <c r="J207" s="1"/>
  <c r="I205"/>
  <c r="I204"/>
  <c r="J204" s="1"/>
  <c r="I203"/>
  <c r="I202"/>
  <c r="J202" s="1"/>
  <c r="I201"/>
  <c r="I200"/>
  <c r="J200" s="1"/>
  <c r="I195"/>
  <c r="I190"/>
  <c r="J190" s="1"/>
  <c r="I183"/>
  <c r="I166"/>
  <c r="J166" s="1"/>
  <c r="I162"/>
  <c r="I161"/>
  <c r="J161" s="1"/>
  <c r="I164"/>
  <c r="I163"/>
  <c r="J163" s="1"/>
  <c r="I159"/>
  <c r="I153"/>
  <c r="J153" s="1"/>
  <c r="I147"/>
  <c r="I145"/>
  <c r="J145" s="1"/>
  <c r="I132"/>
  <c r="I129"/>
  <c r="J129" s="1"/>
  <c r="I128"/>
  <c r="I127"/>
  <c r="I126"/>
  <c r="I130"/>
  <c r="I125"/>
  <c r="I120"/>
  <c r="I115"/>
  <c r="I107"/>
  <c r="J107" s="1"/>
  <c r="I92"/>
  <c r="I90"/>
  <c r="J90" s="1"/>
  <c r="I89"/>
  <c r="I88"/>
  <c r="J88" s="1"/>
  <c r="I87"/>
  <c r="I86"/>
  <c r="J86" s="1"/>
  <c r="I85"/>
  <c r="I81"/>
  <c r="J81" s="1"/>
  <c r="I78"/>
  <c r="I68"/>
  <c r="I57"/>
  <c r="I56"/>
  <c r="I53"/>
  <c r="I52"/>
  <c r="J52" s="1"/>
  <c r="I46"/>
  <c r="I23"/>
  <c r="J23" s="1"/>
  <c r="I21"/>
  <c r="I11"/>
  <c r="J11" s="1"/>
  <c r="I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0"/>
  <c r="J498"/>
  <c r="J497"/>
  <c r="J496"/>
  <c r="J494"/>
  <c r="J492"/>
  <c r="J491"/>
  <c r="J490"/>
  <c r="J489"/>
  <c r="J488"/>
  <c r="J487"/>
  <c r="J486"/>
  <c r="I485"/>
  <c r="J485" s="1"/>
  <c r="J484"/>
  <c r="J480"/>
  <c r="J479"/>
  <c r="I478"/>
  <c r="J478" s="1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8"/>
  <c r="J457"/>
  <c r="J456"/>
  <c r="J455"/>
  <c r="J454"/>
  <c r="J453"/>
  <c r="J452"/>
  <c r="J451"/>
  <c r="J450"/>
  <c r="J449"/>
  <c r="J448"/>
  <c r="J447"/>
  <c r="J446"/>
  <c r="J445"/>
  <c r="I444"/>
  <c r="J444" s="1"/>
  <c r="J443"/>
  <c r="J442"/>
  <c r="I439"/>
  <c r="J439" s="1"/>
  <c r="J438"/>
  <c r="J437"/>
  <c r="J436"/>
  <c r="J435"/>
  <c r="J434"/>
  <c r="J433"/>
  <c r="J432"/>
  <c r="J431"/>
  <c r="J430"/>
  <c r="J429"/>
  <c r="J428"/>
  <c r="J427"/>
  <c r="J426"/>
  <c r="J424"/>
  <c r="J423"/>
  <c r="J422"/>
  <c r="J421"/>
  <c r="J419"/>
  <c r="J417"/>
  <c r="J416"/>
  <c r="J415"/>
  <c r="J414"/>
  <c r="J413"/>
  <c r="J412"/>
  <c r="J411"/>
  <c r="I410"/>
  <c r="J410" s="1"/>
  <c r="J409"/>
  <c r="J407"/>
  <c r="J406"/>
  <c r="J404"/>
  <c r="I405" s="1"/>
  <c r="J405" s="1"/>
  <c r="J403"/>
  <c r="J402"/>
  <c r="J401"/>
  <c r="J400"/>
  <c r="J399"/>
  <c r="J398"/>
  <c r="J397"/>
  <c r="J396"/>
  <c r="J395"/>
  <c r="J394"/>
  <c r="J393"/>
  <c r="J392"/>
  <c r="J391"/>
  <c r="J390"/>
  <c r="J389"/>
  <c r="J387"/>
  <c r="J386"/>
  <c r="J385"/>
  <c r="J384"/>
  <c r="J383"/>
  <c r="J382"/>
  <c r="J381"/>
  <c r="J380"/>
  <c r="J379"/>
  <c r="J378"/>
  <c r="J377"/>
  <c r="J376"/>
  <c r="I375"/>
  <c r="J375" s="1"/>
  <c r="J374"/>
  <c r="J373"/>
  <c r="J372"/>
  <c r="J371"/>
  <c r="I370"/>
  <c r="J370" s="1"/>
  <c r="I369"/>
  <c r="J369" s="1"/>
  <c r="J368"/>
  <c r="J367"/>
  <c r="J366"/>
  <c r="J365"/>
  <c r="J364"/>
  <c r="J361"/>
  <c r="J360"/>
  <c r="J359"/>
  <c r="J358"/>
  <c r="J357"/>
  <c r="J356"/>
  <c r="J355"/>
  <c r="J354"/>
  <c r="J353"/>
  <c r="J352"/>
  <c r="J351"/>
  <c r="J350"/>
  <c r="J349"/>
  <c r="J339"/>
  <c r="J338"/>
  <c r="J337"/>
  <c r="J336"/>
  <c r="J335"/>
  <c r="J334"/>
  <c r="J333"/>
  <c r="J332"/>
  <c r="J331"/>
  <c r="I330"/>
  <c r="J330" s="1"/>
  <c r="J329"/>
  <c r="J325"/>
  <c r="J324"/>
  <c r="J323"/>
  <c r="J322"/>
  <c r="J321"/>
  <c r="J320"/>
  <c r="J319"/>
  <c r="J318"/>
  <c r="J317"/>
  <c r="J316"/>
  <c r="J315"/>
  <c r="J314"/>
  <c r="J313"/>
  <c r="J312"/>
  <c r="J311"/>
  <c r="J310"/>
  <c r="J308"/>
  <c r="J307"/>
  <c r="J306"/>
  <c r="J305"/>
  <c r="J304"/>
  <c r="J302"/>
  <c r="J301"/>
  <c r="J300"/>
  <c r="J299"/>
  <c r="J298"/>
  <c r="J297"/>
  <c r="J296"/>
  <c r="J295"/>
  <c r="J294"/>
  <c r="I293"/>
  <c r="J293" s="1"/>
  <c r="J292"/>
  <c r="J291"/>
  <c r="J290"/>
  <c r="I289"/>
  <c r="J289" s="1"/>
  <c r="J288"/>
  <c r="J287"/>
  <c r="J286"/>
  <c r="I285"/>
  <c r="J285" s="1"/>
  <c r="J283"/>
  <c r="J282"/>
  <c r="J281"/>
  <c r="J280"/>
  <c r="J279"/>
  <c r="J278"/>
  <c r="J277"/>
  <c r="J276"/>
  <c r="J275"/>
  <c r="J274"/>
  <c r="J273"/>
  <c r="J271"/>
  <c r="J270"/>
  <c r="J269"/>
  <c r="J268"/>
  <c r="J267"/>
  <c r="J266"/>
  <c r="J265"/>
  <c r="J264"/>
  <c r="J263"/>
  <c r="I262"/>
  <c r="J262" s="1"/>
  <c r="J261"/>
  <c r="J260"/>
  <c r="J259"/>
  <c r="J258"/>
  <c r="I257"/>
  <c r="J257" s="1"/>
  <c r="I256"/>
  <c r="J256" s="1"/>
  <c r="J255"/>
  <c r="I254"/>
  <c r="J254" s="1"/>
  <c r="J253"/>
  <c r="J252"/>
  <c r="J251"/>
  <c r="J250"/>
  <c r="J249"/>
  <c r="J248"/>
  <c r="J247"/>
  <c r="J246"/>
  <c r="J245"/>
  <c r="J244"/>
  <c r="J243"/>
  <c r="J242"/>
  <c r="J230"/>
  <c r="J229"/>
  <c r="J228"/>
  <c r="J227"/>
  <c r="J226"/>
  <c r="J225"/>
  <c r="J224"/>
  <c r="J223"/>
  <c r="J221"/>
  <c r="J220"/>
  <c r="J219"/>
  <c r="J218"/>
  <c r="J217"/>
  <c r="J216"/>
  <c r="J215"/>
  <c r="J214"/>
  <c r="J213"/>
  <c r="J212"/>
  <c r="J211"/>
  <c r="J210"/>
  <c r="J209"/>
  <c r="J208"/>
  <c r="J205"/>
  <c r="J203"/>
  <c r="J201"/>
  <c r="J199"/>
  <c r="J198"/>
  <c r="J197"/>
  <c r="J196"/>
  <c r="J195"/>
  <c r="J194"/>
  <c r="J193"/>
  <c r="J192"/>
  <c r="J191"/>
  <c r="J189"/>
  <c r="J188"/>
  <c r="I187"/>
  <c r="J187" s="1"/>
  <c r="I186"/>
  <c r="J186" s="1"/>
  <c r="J185"/>
  <c r="I184"/>
  <c r="J184" s="1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4"/>
  <c r="J162"/>
  <c r="J160"/>
  <c r="J159"/>
  <c r="J158"/>
  <c r="J157"/>
  <c r="J156"/>
  <c r="J155"/>
  <c r="J154"/>
  <c r="J152"/>
  <c r="I151"/>
  <c r="J151" s="1"/>
  <c r="I150"/>
  <c r="J150" s="1"/>
  <c r="J149"/>
  <c r="I148"/>
  <c r="J148" s="1"/>
  <c r="J147"/>
  <c r="J146"/>
  <c r="J144"/>
  <c r="J143"/>
  <c r="J142"/>
  <c r="J141"/>
  <c r="J140"/>
  <c r="J139"/>
  <c r="J138"/>
  <c r="J137"/>
  <c r="J136"/>
  <c r="J135"/>
  <c r="J134"/>
  <c r="J133"/>
  <c r="J132"/>
  <c r="J130"/>
  <c r="J128"/>
  <c r="J126"/>
  <c r="J125"/>
  <c r="J124"/>
  <c r="J123"/>
  <c r="J122"/>
  <c r="J121"/>
  <c r="J120"/>
  <c r="J118"/>
  <c r="J117"/>
  <c r="I117"/>
  <c r="J116"/>
  <c r="J115"/>
  <c r="J114"/>
  <c r="I114"/>
  <c r="J112"/>
  <c r="J111"/>
  <c r="J110"/>
  <c r="J109"/>
  <c r="J108"/>
  <c r="J106"/>
  <c r="J105"/>
  <c r="J104"/>
  <c r="J103"/>
  <c r="J102"/>
  <c r="J101"/>
  <c r="J100"/>
  <c r="J99"/>
  <c r="J98"/>
  <c r="J97"/>
  <c r="J96"/>
  <c r="J95"/>
  <c r="J94"/>
  <c r="J93"/>
  <c r="J92"/>
  <c r="J89"/>
  <c r="J87"/>
  <c r="J85"/>
  <c r="J84"/>
  <c r="J83"/>
  <c r="J82"/>
  <c r="J80"/>
  <c r="J79"/>
  <c r="J78"/>
  <c r="J77"/>
  <c r="I76"/>
  <c r="J76" s="1"/>
  <c r="I75"/>
  <c r="J75" s="1"/>
  <c r="J74"/>
  <c r="I73"/>
  <c r="J73" s="1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3"/>
  <c r="J51"/>
  <c r="J50"/>
  <c r="J49"/>
  <c r="J48"/>
  <c r="J47"/>
  <c r="J46"/>
  <c r="J45"/>
  <c r="J44"/>
  <c r="J43"/>
  <c r="J42"/>
  <c r="J41"/>
  <c r="J40"/>
  <c r="J39"/>
  <c r="J38"/>
  <c r="I37"/>
  <c r="J37" s="1"/>
  <c r="I36"/>
  <c r="J36" s="1"/>
  <c r="J35"/>
  <c r="J34"/>
  <c r="J33"/>
  <c r="J32"/>
  <c r="J31"/>
  <c r="J30"/>
  <c r="J29"/>
  <c r="J28"/>
  <c r="J27"/>
  <c r="J26"/>
  <c r="J25"/>
  <c r="J22"/>
  <c r="J21"/>
  <c r="J20"/>
  <c r="J19"/>
  <c r="J18"/>
  <c r="J17"/>
  <c r="J16"/>
  <c r="J15"/>
  <c r="J14"/>
  <c r="J13"/>
  <c r="J12"/>
  <c r="J10"/>
  <c r="J9"/>
  <c r="J8"/>
  <c r="J127" l="1"/>
  <c r="I539"/>
  <c r="J538"/>
  <c r="J499"/>
  <c r="J459"/>
  <c r="J348"/>
  <c r="J309"/>
  <c r="J241"/>
  <c r="J206"/>
  <c r="J54"/>
  <c r="J24"/>
  <c r="J91"/>
  <c r="J131"/>
  <c r="J165"/>
  <c r="J272"/>
  <c r="J425"/>
  <c r="J388"/>
  <c r="K531" i="2"/>
  <c r="K537" s="1"/>
  <c r="N538"/>
  <c r="J536"/>
  <c r="J535"/>
  <c r="J534"/>
  <c r="J533"/>
  <c r="J532"/>
  <c r="J531"/>
  <c r="J506"/>
  <c r="J528"/>
  <c r="J527"/>
  <c r="J526"/>
  <c r="J525"/>
  <c r="J523"/>
  <c r="J539" i="8" l="1"/>
  <c r="J540" s="1"/>
  <c r="J530" i="2"/>
  <c r="J529"/>
  <c r="J514"/>
  <c r="J524"/>
  <c r="J522"/>
  <c r="J521"/>
  <c r="J520"/>
  <c r="J519"/>
  <c r="J518"/>
  <c r="J517"/>
  <c r="J516"/>
  <c r="J515"/>
  <c r="J513"/>
  <c r="J512"/>
  <c r="J511"/>
  <c r="J510"/>
  <c r="J509"/>
  <c r="J508"/>
  <c r="J507"/>
  <c r="J505"/>
  <c r="J504"/>
  <c r="J503"/>
  <c r="J502"/>
  <c r="J501"/>
  <c r="M500" s="1"/>
  <c r="J499"/>
  <c r="J537" s="1"/>
  <c r="M538" s="1"/>
  <c r="L537" l="1"/>
  <c r="M537" s="1"/>
  <c r="M530"/>
  <c r="M528"/>
  <c r="M524"/>
  <c r="M531"/>
  <c r="M529"/>
  <c r="K498"/>
  <c r="J497"/>
  <c r="J496"/>
  <c r="M497" s="1"/>
  <c r="J495"/>
  <c r="J494"/>
  <c r="J493"/>
  <c r="M495"/>
  <c r="M494"/>
  <c r="J492"/>
  <c r="J491"/>
  <c r="J490"/>
  <c r="J489"/>
  <c r="J488"/>
  <c r="J487"/>
  <c r="J486"/>
  <c r="J485"/>
  <c r="J479"/>
  <c r="I484"/>
  <c r="J484" s="1"/>
  <c r="J483"/>
  <c r="J482"/>
  <c r="J478"/>
  <c r="I477"/>
  <c r="J477" s="1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98" l="1"/>
  <c r="L498" s="1"/>
  <c r="M498" s="1"/>
  <c r="M533"/>
  <c r="K452"/>
  <c r="K458" s="1"/>
  <c r="M460"/>
  <c r="J457"/>
  <c r="J456"/>
  <c r="J455"/>
  <c r="J454"/>
  <c r="J453"/>
  <c r="J452"/>
  <c r="J451"/>
  <c r="M456" s="1"/>
  <c r="J450"/>
  <c r="J449"/>
  <c r="J448"/>
  <c r="J447"/>
  <c r="J446"/>
  <c r="J445"/>
  <c r="J444"/>
  <c r="I443"/>
  <c r="J443" s="1"/>
  <c r="J442"/>
  <c r="J441"/>
  <c r="M440"/>
  <c r="I438"/>
  <c r="J438" s="1"/>
  <c r="M443" s="1"/>
  <c r="J437"/>
  <c r="M437" s="1"/>
  <c r="J436"/>
  <c r="J435"/>
  <c r="J434"/>
  <c r="J433"/>
  <c r="J432"/>
  <c r="J431"/>
  <c r="J430"/>
  <c r="J429"/>
  <c r="J428"/>
  <c r="J427"/>
  <c r="J426"/>
  <c r="J425"/>
  <c r="M426" l="1"/>
  <c r="J458"/>
  <c r="M425"/>
  <c r="L458"/>
  <c r="M458" s="1"/>
  <c r="M442"/>
  <c r="M452"/>
  <c r="M454" s="1"/>
  <c r="J423"/>
  <c r="J422"/>
  <c r="K419"/>
  <c r="M419" s="1"/>
  <c r="J421"/>
  <c r="J420"/>
  <c r="J419"/>
  <c r="K418"/>
  <c r="J418"/>
  <c r="K417"/>
  <c r="K424" s="1"/>
  <c r="J417"/>
  <c r="J416"/>
  <c r="J411"/>
  <c r="J415"/>
  <c r="J414"/>
  <c r="J413"/>
  <c r="J412"/>
  <c r="J410"/>
  <c r="I409"/>
  <c r="J409" s="1"/>
  <c r="J408"/>
  <c r="J407"/>
  <c r="J406"/>
  <c r="J405"/>
  <c r="M405"/>
  <c r="J403"/>
  <c r="I404" s="1"/>
  <c r="J404" s="1"/>
  <c r="J402"/>
  <c r="M402"/>
  <c r="J401"/>
  <c r="J400"/>
  <c r="J399"/>
  <c r="M400" s="1"/>
  <c r="J398"/>
  <c r="J397"/>
  <c r="J396"/>
  <c r="J395"/>
  <c r="J394"/>
  <c r="N419" l="1"/>
  <c r="M408"/>
  <c r="M420"/>
  <c r="M418" s="1"/>
  <c r="M421"/>
  <c r="N421" s="1"/>
  <c r="J386"/>
  <c r="J385"/>
  <c r="J384"/>
  <c r="J383"/>
  <c r="J381"/>
  <c r="K382"/>
  <c r="K387" s="1"/>
  <c r="J382"/>
  <c r="J380"/>
  <c r="J379"/>
  <c r="J378"/>
  <c r="J377"/>
  <c r="J376"/>
  <c r="J375"/>
  <c r="M369"/>
  <c r="J371"/>
  <c r="J370"/>
  <c r="J367"/>
  <c r="J366"/>
  <c r="I374"/>
  <c r="J374" s="1"/>
  <c r="J373"/>
  <c r="J372"/>
  <c r="I369"/>
  <c r="J369" s="1"/>
  <c r="I368"/>
  <c r="J368" s="1"/>
  <c r="J365"/>
  <c r="J364"/>
  <c r="J363"/>
  <c r="J360"/>
  <c r="J359"/>
  <c r="J358"/>
  <c r="J357"/>
  <c r="J356"/>
  <c r="J355"/>
  <c r="J354"/>
  <c r="J353"/>
  <c r="J352"/>
  <c r="J351"/>
  <c r="J350"/>
  <c r="J349"/>
  <c r="J348"/>
  <c r="M422" l="1"/>
  <c r="M423"/>
  <c r="J387"/>
  <c r="L387" s="1"/>
  <c r="M387" s="1"/>
  <c r="M386" s="1"/>
  <c r="M348"/>
  <c r="M349" s="1"/>
  <c r="N383"/>
  <c r="N385" s="1"/>
  <c r="K347" l="1"/>
  <c r="J346"/>
  <c r="M344"/>
  <c r="J345"/>
  <c r="J344"/>
  <c r="J343"/>
  <c r="J342"/>
  <c r="J341"/>
  <c r="M324"/>
  <c r="J339"/>
  <c r="M339" s="1"/>
  <c r="J337"/>
  <c r="J338"/>
  <c r="J336"/>
  <c r="J335"/>
  <c r="J334"/>
  <c r="J333"/>
  <c r="I332"/>
  <c r="J332" s="1"/>
  <c r="J331"/>
  <c r="J330"/>
  <c r="I329"/>
  <c r="J329" s="1"/>
  <c r="J328"/>
  <c r="J327"/>
  <c r="J324"/>
  <c r="J323"/>
  <c r="J322"/>
  <c r="J321"/>
  <c r="J319"/>
  <c r="J318"/>
  <c r="J320"/>
  <c r="M345" l="1"/>
  <c r="M346" s="1"/>
  <c r="M341"/>
  <c r="M342" s="1"/>
  <c r="M343" s="1"/>
  <c r="M325"/>
  <c r="N341"/>
  <c r="N343" s="1"/>
  <c r="J317"/>
  <c r="J316"/>
  <c r="J315"/>
  <c r="J314"/>
  <c r="J313"/>
  <c r="J312"/>
  <c r="J311"/>
  <c r="J310"/>
  <c r="J309"/>
  <c r="J347" l="1"/>
  <c r="J307"/>
  <c r="J306"/>
  <c r="J305"/>
  <c r="J304"/>
  <c r="J303"/>
  <c r="M304"/>
  <c r="M305" s="1"/>
  <c r="M303"/>
  <c r="N303"/>
  <c r="N302" s="1"/>
  <c r="K302"/>
  <c r="J302"/>
  <c r="K301"/>
  <c r="K308" s="1"/>
  <c r="J300"/>
  <c r="J301"/>
  <c r="J299"/>
  <c r="J298"/>
  <c r="J297"/>
  <c r="J296"/>
  <c r="J295"/>
  <c r="J294"/>
  <c r="J293"/>
  <c r="J286"/>
  <c r="J285"/>
  <c r="I292"/>
  <c r="J292"/>
  <c r="J291"/>
  <c r="J290"/>
  <c r="I288"/>
  <c r="J288"/>
  <c r="J289"/>
  <c r="J287"/>
  <c r="I284"/>
  <c r="J284" s="1"/>
  <c r="J282"/>
  <c r="J281"/>
  <c r="J280"/>
  <c r="J279"/>
  <c r="J278"/>
  <c r="J277"/>
  <c r="J276"/>
  <c r="J275"/>
  <c r="J274"/>
  <c r="J273"/>
  <c r="J272"/>
  <c r="M272" l="1"/>
  <c r="M273" s="1"/>
  <c r="J308"/>
  <c r="L347"/>
  <c r="M347" s="1"/>
  <c r="L308"/>
  <c r="M308" s="1"/>
  <c r="K240"/>
  <c r="M236"/>
  <c r="M238" s="1"/>
  <c r="M239" s="1"/>
  <c r="N220"/>
  <c r="N386"/>
  <c r="N387" s="1"/>
  <c r="J270"/>
  <c r="J269"/>
  <c r="J268"/>
  <c r="J267"/>
  <c r="M267" s="1"/>
  <c r="N268" s="1"/>
  <c r="K266"/>
  <c r="K271" s="1"/>
  <c r="J266"/>
  <c r="N265" s="1"/>
  <c r="J265"/>
  <c r="J264"/>
  <c r="J263"/>
  <c r="J262"/>
  <c r="J228"/>
  <c r="I261"/>
  <c r="J261" s="1"/>
  <c r="J260"/>
  <c r="J259"/>
  <c r="J258"/>
  <c r="J257"/>
  <c r="I256"/>
  <c r="J256" s="1"/>
  <c r="I255"/>
  <c r="J255" s="1"/>
  <c r="J254"/>
  <c r="I253"/>
  <c r="J253" s="1"/>
  <c r="J252"/>
  <c r="J251"/>
  <c r="J250"/>
  <c r="J249"/>
  <c r="M249" s="1"/>
  <c r="M250" s="1"/>
  <c r="J248"/>
  <c r="J247"/>
  <c r="J246"/>
  <c r="J245"/>
  <c r="J244"/>
  <c r="J243"/>
  <c r="J242"/>
  <c r="J241"/>
  <c r="J271" l="1"/>
  <c r="L271" s="1"/>
  <c r="M271" s="1"/>
  <c r="N271" l="1"/>
  <c r="N272" s="1"/>
  <c r="J235" l="1"/>
  <c r="J234"/>
  <c r="M234" s="1"/>
  <c r="J233"/>
  <c r="M233" s="1"/>
  <c r="J232"/>
  <c r="J231"/>
  <c r="J230"/>
  <c r="J229"/>
  <c r="J227"/>
  <c r="J226"/>
  <c r="J225"/>
  <c r="J224"/>
  <c r="J223"/>
  <c r="J222"/>
  <c r="J221"/>
  <c r="M222" s="1"/>
  <c r="M223" s="1"/>
  <c r="J220"/>
  <c r="J219"/>
  <c r="J218"/>
  <c r="J217"/>
  <c r="J216"/>
  <c r="J215"/>
  <c r="J214"/>
  <c r="J213"/>
  <c r="J212"/>
  <c r="J211"/>
  <c r="J210"/>
  <c r="J209"/>
  <c r="J208"/>
  <c r="J207"/>
  <c r="J206"/>
  <c r="M208" l="1"/>
  <c r="M220"/>
  <c r="N234"/>
  <c r="J240"/>
  <c r="M206"/>
  <c r="M218"/>
  <c r="N233"/>
  <c r="N236"/>
  <c r="N238" s="1"/>
  <c r="M211"/>
  <c r="L240" l="1"/>
  <c r="M240" s="1"/>
  <c r="M241"/>
  <c r="M242"/>
  <c r="J204"/>
  <c r="J203"/>
  <c r="K203" s="1"/>
  <c r="J202"/>
  <c r="K202" s="1"/>
  <c r="J201"/>
  <c r="K201" s="1"/>
  <c r="J200"/>
  <c r="K199"/>
  <c r="J199"/>
  <c r="J198"/>
  <c r="J197"/>
  <c r="J196"/>
  <c r="J195"/>
  <c r="J194"/>
  <c r="J193"/>
  <c r="J192"/>
  <c r="J191"/>
  <c r="J190"/>
  <c r="J189"/>
  <c r="J188"/>
  <c r="J187"/>
  <c r="I186"/>
  <c r="J186" s="1"/>
  <c r="I185"/>
  <c r="J185" s="1"/>
  <c r="J184"/>
  <c r="I183"/>
  <c r="J183" s="1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205" l="1"/>
  <c r="K200"/>
  <c r="N205" s="1"/>
  <c r="K164"/>
  <c r="J163"/>
  <c r="J162"/>
  <c r="J161"/>
  <c r="J160"/>
  <c r="I146"/>
  <c r="J159"/>
  <c r="J158"/>
  <c r="J157"/>
  <c r="J154"/>
  <c r="J155"/>
  <c r="J156"/>
  <c r="J153"/>
  <c r="J152"/>
  <c r="J151"/>
  <c r="I150"/>
  <c r="J150" s="1"/>
  <c r="J148"/>
  <c r="I149"/>
  <c r="J149" s="1"/>
  <c r="I147"/>
  <c r="J147" s="1"/>
  <c r="J146"/>
  <c r="J145"/>
  <c r="J144"/>
  <c r="J143"/>
  <c r="J142"/>
  <c r="J141"/>
  <c r="J140"/>
  <c r="J139"/>
  <c r="J138"/>
  <c r="J137"/>
  <c r="J136"/>
  <c r="J135"/>
  <c r="J134"/>
  <c r="J133"/>
  <c r="J132"/>
  <c r="J131"/>
  <c r="N160" l="1"/>
  <c r="N162" s="1"/>
  <c r="J164"/>
  <c r="K205"/>
  <c r="L205" s="1"/>
  <c r="M205" s="1"/>
  <c r="L164"/>
  <c r="M164" s="1"/>
  <c r="K90"/>
  <c r="J89"/>
  <c r="J88"/>
  <c r="J87"/>
  <c r="J86"/>
  <c r="J81"/>
  <c r="J80"/>
  <c r="J79"/>
  <c r="J78"/>
  <c r="J77"/>
  <c r="J85"/>
  <c r="J84"/>
  <c r="J83"/>
  <c r="J82"/>
  <c r="J76"/>
  <c r="I75"/>
  <c r="J75" s="1"/>
  <c r="I74"/>
  <c r="J74" s="1"/>
  <c r="J73"/>
  <c r="I72"/>
  <c r="J72" s="1"/>
  <c r="J71"/>
  <c r="J70"/>
  <c r="J69"/>
  <c r="J68"/>
  <c r="J67"/>
  <c r="J66"/>
  <c r="J65"/>
  <c r="J64"/>
  <c r="J63"/>
  <c r="J62"/>
  <c r="J61"/>
  <c r="J60"/>
  <c r="J59"/>
  <c r="J58"/>
  <c r="J57"/>
  <c r="J56"/>
  <c r="N82" l="1"/>
  <c r="J55" l="1"/>
  <c r="J54"/>
  <c r="K130"/>
  <c r="O130"/>
  <c r="N130"/>
  <c r="J129"/>
  <c r="J128"/>
  <c r="J127"/>
  <c r="J126"/>
  <c r="J125"/>
  <c r="M82" l="1"/>
  <c r="O82" s="1"/>
  <c r="O84" s="1"/>
  <c r="J90"/>
  <c r="L90" s="1"/>
  <c r="M90" s="1"/>
  <c r="N129"/>
  <c r="O129" s="1"/>
  <c r="O125" l="1"/>
  <c r="J124"/>
  <c r="M124" s="1"/>
  <c r="J123"/>
  <c r="J122"/>
  <c r="J121"/>
  <c r="J120"/>
  <c r="I119"/>
  <c r="J119" s="1"/>
  <c r="J117"/>
  <c r="I116"/>
  <c r="J116" s="1"/>
  <c r="J115"/>
  <c r="J114"/>
  <c r="I113"/>
  <c r="J113" s="1"/>
  <c r="J111"/>
  <c r="J110"/>
  <c r="J109"/>
  <c r="J108"/>
  <c r="J107"/>
  <c r="J105"/>
  <c r="J104"/>
  <c r="J103"/>
  <c r="J102"/>
  <c r="J101"/>
  <c r="J106"/>
  <c r="J100"/>
  <c r="J99"/>
  <c r="J98"/>
  <c r="J97"/>
  <c r="J96"/>
  <c r="J95"/>
  <c r="J94"/>
  <c r="J93"/>
  <c r="J92"/>
  <c r="J91"/>
  <c r="N125" l="1"/>
  <c r="O124" s="1"/>
  <c r="O123" s="1"/>
  <c r="N105"/>
  <c r="N96"/>
  <c r="J130"/>
  <c r="L130" s="1"/>
  <c r="M130" s="1"/>
  <c r="J393" l="1"/>
  <c r="J392"/>
  <c r="J391"/>
  <c r="J390"/>
  <c r="J389"/>
  <c r="J388"/>
  <c r="J424" s="1"/>
  <c r="L424" s="1"/>
  <c r="M424" s="1"/>
  <c r="J52" l="1"/>
  <c r="K23"/>
  <c r="K51"/>
  <c r="K53" s="1"/>
  <c r="J51"/>
  <c r="J50" l="1"/>
  <c r="J49"/>
  <c r="J48"/>
  <c r="J47"/>
  <c r="J46" l="1"/>
  <c r="J45"/>
  <c r="J44"/>
  <c r="J43" l="1"/>
  <c r="J42"/>
  <c r="J41"/>
  <c r="J40"/>
  <c r="J39"/>
  <c r="J38" l="1"/>
  <c r="J37"/>
  <c r="I36"/>
  <c r="J36" s="1"/>
  <c r="I35"/>
  <c r="J35" s="1"/>
  <c r="I34"/>
  <c r="J34" s="1"/>
  <c r="J33"/>
  <c r="J32"/>
  <c r="J31"/>
  <c r="J30"/>
  <c r="J29" l="1"/>
  <c r="J28"/>
  <c r="J27"/>
  <c r="J26"/>
  <c r="J25"/>
  <c r="J24"/>
  <c r="J53" s="1"/>
  <c r="L53" s="1"/>
  <c r="M53" l="1"/>
  <c r="N50"/>
  <c r="N51" s="1"/>
  <c r="N53"/>
  <c r="J22"/>
  <c r="J21"/>
  <c r="J20"/>
  <c r="J8"/>
  <c r="J7"/>
  <c r="J16"/>
  <c r="J15"/>
  <c r="J14"/>
  <c r="J13"/>
  <c r="J12"/>
  <c r="J11"/>
  <c r="J10"/>
  <c r="J9"/>
  <c r="J19"/>
  <c r="J18"/>
  <c r="J17"/>
  <c r="J23" l="1"/>
  <c r="L23" s="1"/>
  <c r="M23" l="1"/>
  <c r="L538"/>
  <c r="I13" i="5"/>
  <c r="I14" s="1"/>
  <c r="I10"/>
  <c r="I9"/>
</calcChain>
</file>

<file path=xl/sharedStrings.xml><?xml version="1.0" encoding="utf-8"?>
<sst xmlns="http://schemas.openxmlformats.org/spreadsheetml/2006/main" count="2066" uniqueCount="435">
  <si>
    <t>NO</t>
  </si>
  <si>
    <t>36/Kel.Kalodran/Kontral Swakel/X/2020</t>
  </si>
  <si>
    <t>37/Kel.Kalodran/Kontral Swakel/X/2020</t>
  </si>
  <si>
    <t>35/Kel.Kalodran/Kontral Swakel/X/2020</t>
  </si>
  <si>
    <t>23/Kel.Kalodran/Kontral Swakel/VII/2020</t>
  </si>
  <si>
    <t>38/Kel.Kalodran/Kontral Swakel/XI/2020</t>
  </si>
  <si>
    <t>900/007-SP/Kel.Kalodran/VIII/2020</t>
  </si>
  <si>
    <t>VOLUME 282,9 (123X2.3) M2</t>
  </si>
  <si>
    <t>900/036-SP/KEL.KALODRAN/Vii/2020</t>
  </si>
  <si>
    <t>CV Bangkit Jaya</t>
  </si>
  <si>
    <t>SPK</t>
  </si>
  <si>
    <t>TGL</t>
  </si>
  <si>
    <t>Nama Barang</t>
  </si>
  <si>
    <t>SPEK</t>
  </si>
  <si>
    <t>Harga Satuan</t>
  </si>
  <si>
    <t>Jumlah</t>
  </si>
  <si>
    <t>Uraian Barang</t>
  </si>
  <si>
    <t>Nama Penyedia</t>
  </si>
  <si>
    <t>No SPK</t>
  </si>
  <si>
    <t>Kecamatan</t>
  </si>
  <si>
    <t>Gedung Kantor</t>
  </si>
  <si>
    <t>Taman belakang Rumdin</t>
  </si>
  <si>
    <t>CV SANGGA RAKSA</t>
  </si>
  <si>
    <t>027/04/SPK/KONSTR/PSPKW/PPK/KEC.WALANTAKA/2020</t>
  </si>
  <si>
    <t>CV MEGA JAYA UTAMA</t>
  </si>
  <si>
    <t>900/01/pl-LANDSCAPE/spk/kECWALANTAKA/2019</t>
  </si>
  <si>
    <t xml:space="preserve">Retensi </t>
  </si>
  <si>
    <t>lanscape halaman kantor</t>
  </si>
  <si>
    <t>KARYA PUTRI ALISYA,CV</t>
  </si>
  <si>
    <t>027/04/SPK/BRG/PSPK/PPK/KEC.WALANTAKA/2020</t>
  </si>
  <si>
    <t>AC</t>
  </si>
  <si>
    <t>2 PK</t>
  </si>
  <si>
    <t>1 PK</t>
  </si>
  <si>
    <t>Laptop</t>
  </si>
  <si>
    <t>Acer Intel Celeron N4000</t>
  </si>
  <si>
    <t>Proyektor</t>
  </si>
  <si>
    <t>Ben Q</t>
  </si>
  <si>
    <t>Printer</t>
  </si>
  <si>
    <t>All In One Tank</t>
  </si>
  <si>
    <t>Multi Fungsi Auto Power On</t>
  </si>
  <si>
    <t>Epson</t>
  </si>
  <si>
    <t>Volume</t>
  </si>
  <si>
    <t>Meja Kerja</t>
  </si>
  <si>
    <t>1 biro, Kayu+kaca</t>
  </si>
  <si>
    <t>Kursi Rapat</t>
  </si>
  <si>
    <t>model Kuliah</t>
  </si>
  <si>
    <t>Kursi Kerja</t>
  </si>
  <si>
    <t>Tak berlengan</t>
  </si>
  <si>
    <t>Berlengan</t>
  </si>
  <si>
    <t>Kendaraan roda 4</t>
  </si>
  <si>
    <t>INDOMOBIL TRADA NASIONAL PT</t>
  </si>
  <si>
    <t>027/05/SP/BRG/EPURCHASING/PPKKEC.WALANTAKA/2020</t>
  </si>
  <si>
    <t>Nissan Grand Livina XV</t>
  </si>
  <si>
    <t>900/34-SP/IX/Kec WLTK</t>
  </si>
  <si>
    <t>Papan Nama Kantor</t>
  </si>
  <si>
    <t>akrilik nama kantor dan Papan nama Org Masyarakat</t>
  </si>
  <si>
    <t>CV PUTRA JAYA MULTI PERKASA</t>
  </si>
  <si>
    <t>027/003/SPK/KEC.WALANTAKA/2020</t>
  </si>
  <si>
    <t>Aula dan R Kerja Camat, Kamar Mandi</t>
  </si>
  <si>
    <t>Kel. Walantaka</t>
  </si>
  <si>
    <t>CV. KHISRIPAS</t>
  </si>
  <si>
    <t>900/168-SP/Kel.Walantaka/X/2020</t>
  </si>
  <si>
    <t>Kotak Saran</t>
  </si>
  <si>
    <t>Akrilik</t>
  </si>
  <si>
    <t>Lemari Es</t>
  </si>
  <si>
    <t>Penanak Nasi</t>
  </si>
  <si>
    <t>1.8 L</t>
  </si>
  <si>
    <t>Rak Piring</t>
  </si>
  <si>
    <t>Tangga Lipat</t>
  </si>
  <si>
    <t>stainless steel</t>
  </si>
  <si>
    <t>nama kantor dan Papan nama Org Masyarakat</t>
  </si>
  <si>
    <t>BANGKIT JAYA CV</t>
  </si>
  <si>
    <t>027/05/SPK/BRG/PSPK/PPK/Kel.WLTK/2020</t>
  </si>
  <si>
    <t>PC</t>
  </si>
  <si>
    <t xml:space="preserve">HP i3 , 4 GB DDR4-3200 SDRAM,1TB,Win.10 </t>
  </si>
  <si>
    <t>Asus I3-8145U/ 14"/ 4GB / 1TB/ WIN 10</t>
  </si>
  <si>
    <t>Epson WB-05 3,300 ansi lumen, WXGA resolution ( 1280 x 800 ), ratio of 15,000:1, Layar Tripod 70" Brite</t>
  </si>
  <si>
    <t>Epson L3110</t>
  </si>
  <si>
    <t>DUTA ABIMANYU FADILAH CV</t>
  </si>
  <si>
    <t>900/05/SPK/Kel.Wltk/III/2020</t>
  </si>
  <si>
    <t>1 pintu</t>
  </si>
  <si>
    <t>biro</t>
  </si>
  <si>
    <t>plastik</t>
  </si>
  <si>
    <t>Sofa</t>
  </si>
  <si>
    <t>minimalis</t>
  </si>
  <si>
    <t>Kursi Tunggu</t>
  </si>
  <si>
    <t>stainless steel 5 dudukan</t>
  </si>
  <si>
    <t>Lemari Arsip</t>
  </si>
  <si>
    <t>Besi 2 pintu</t>
  </si>
  <si>
    <t>Besi Kaca 2 pintu</t>
  </si>
  <si>
    <t>Filling Kabinet</t>
  </si>
  <si>
    <t>4 laci</t>
  </si>
  <si>
    <t>putar</t>
  </si>
  <si>
    <t>900/008-S.Perj/Kel.Wltka/III/2020</t>
  </si>
  <si>
    <t>Soundsystem</t>
  </si>
  <si>
    <t>portable</t>
  </si>
  <si>
    <t>CCTV</t>
  </si>
  <si>
    <t xml:space="preserve">1 kamera indoor, 1 kamera outdoor, 1 monitor + pemasangan </t>
  </si>
  <si>
    <t>Pompa</t>
  </si>
  <si>
    <t>Ruang Pelayanan</t>
  </si>
  <si>
    <t>1/2 PK</t>
  </si>
  <si>
    <t>900/012-SP/Kel.Wltka/III/2020</t>
  </si>
  <si>
    <t>MUHAMAD RIFQI FADILAH</t>
  </si>
  <si>
    <t>Rudi Bor</t>
  </si>
  <si>
    <t>CV KARYA SIRAH DAYEUH</t>
  </si>
  <si>
    <t>Thermogun</t>
  </si>
  <si>
    <t>Nikita</t>
  </si>
  <si>
    <t>Handdryer (+pemasangan)</t>
  </si>
  <si>
    <t>Alat Semprot disinfektan</t>
  </si>
  <si>
    <t>CV BAROS TELEKOMUNIKASI TEKNIK</t>
  </si>
  <si>
    <t>CV TANI JAYA</t>
  </si>
  <si>
    <t>Washtuffle</t>
  </si>
  <si>
    <t>NAMA UNIT</t>
  </si>
  <si>
    <t>Drainase Jalan RT. 011/004</t>
  </si>
  <si>
    <t>292 m</t>
  </si>
  <si>
    <t>Honor PPBJ/Pokmas</t>
  </si>
  <si>
    <t>NYAPAH</t>
  </si>
  <si>
    <t>Drainase Jalan lingkungan Winong RT 04/04</t>
  </si>
  <si>
    <t>363 m</t>
  </si>
  <si>
    <t>900/017-SP/Kel.Wltka/III/2020</t>
  </si>
  <si>
    <t>Pokmas Mutiara</t>
  </si>
  <si>
    <t>900/015-SP/Kel.Wltka/III/2020</t>
  </si>
  <si>
    <t>900/022-SP/Kel.Wltka/III/2020</t>
  </si>
  <si>
    <t>CIGOONG</t>
  </si>
  <si>
    <t>PASULUHAN</t>
  </si>
  <si>
    <t>900/51-SP/Kel.Pasuluhan/IX/2020</t>
  </si>
  <si>
    <t>Kotak saran</t>
  </si>
  <si>
    <t>akrilic</t>
  </si>
  <si>
    <t>Kompor Gas</t>
  </si>
  <si>
    <t>2 tungku (regulator+tabung gas)</t>
  </si>
  <si>
    <t>Dispenser</t>
  </si>
  <si>
    <t>+ galon</t>
  </si>
  <si>
    <t>Kipas Angin</t>
  </si>
  <si>
    <t>TOTAL</t>
  </si>
  <si>
    <t>HP I5 / 8250 / 4 / 1 TB / 21.5 / WIN.10</t>
  </si>
  <si>
    <t>Lenovo INTEL I3-7020U 2.3 G/ 4GB/ 256G SSD/ 14"/ WIN 10</t>
  </si>
  <si>
    <t>ASUS M 409 BA</t>
  </si>
  <si>
    <t>CANNON TR 4570 S</t>
  </si>
  <si>
    <t>Laserjet Pro 107A M107A 4ZB77A</t>
  </si>
  <si>
    <t>Epson EB-X400</t>
  </si>
  <si>
    <t>DELTA SURYA GEMILANG,CV</t>
  </si>
  <si>
    <t>027/06/SPK/BRG/PSPK/PPK/KEL.NYAPAH/2020</t>
  </si>
  <si>
    <t>900/454-SP/KEL.NYAPAH/VIII/2020</t>
  </si>
  <si>
    <t>Kanopi dan teras</t>
  </si>
  <si>
    <t>Kipas angin</t>
  </si>
  <si>
    <t>Penampung Air Bersih</t>
  </si>
  <si>
    <t xml:space="preserve">Gerobak Sampah </t>
  </si>
  <si>
    <t>dorong</t>
  </si>
  <si>
    <t>Tempat Sampah</t>
  </si>
  <si>
    <t>CV DUA BINTANG SEJATI</t>
  </si>
  <si>
    <t>012/900-SPK/Kel.Nyapah/III/2020</t>
  </si>
  <si>
    <t>Meja Rapat</t>
  </si>
  <si>
    <t>kursi rapat</t>
  </si>
  <si>
    <t>sofa</t>
  </si>
  <si>
    <t>stainless steel  5 dudukan</t>
  </si>
  <si>
    <t>CV.MUTIARA ELCHOIR</t>
  </si>
  <si>
    <t>014/900-S.Perj/Kel.Nyapah/III/ 2020</t>
  </si>
  <si>
    <t>MUTIARA ELCHOIR CV</t>
  </si>
  <si>
    <t>017/900-S.Perj/Kel.Nyapah/III/ 2020</t>
  </si>
  <si>
    <t>Genset</t>
  </si>
  <si>
    <t>Pokmas</t>
  </si>
  <si>
    <t>Paving Block RT 02/02</t>
  </si>
  <si>
    <t>DIDAN INTRA PRODUKSI CV</t>
  </si>
  <si>
    <t>027/024/SPK/KEL.NYAPAH/20 20</t>
  </si>
  <si>
    <t xml:space="preserve">paving block Ling Nyapah Kantor Rt. 001/003 </t>
  </si>
  <si>
    <t>TPT ling. Nyapah Kantor Rt. 001/003</t>
  </si>
  <si>
    <t>Paving Block Ling. Rt. 002 / 003</t>
  </si>
  <si>
    <t>Paving Block Ling. Cibogo Timur Rt. 002/003</t>
  </si>
  <si>
    <t>Paving Block Ling. Nyapah Serut Rt. 002/005</t>
  </si>
  <si>
    <t>900/013-SP/Kel.CIGOONG/X/2020</t>
  </si>
  <si>
    <t>gedung kantor</t>
  </si>
  <si>
    <t>rehab toilet</t>
  </si>
  <si>
    <t>kanopi</t>
  </si>
  <si>
    <t>SINAR JAYA MAKMUR,CV</t>
  </si>
  <si>
    <t>027/06/SPP/BRG/PSPK/PPK/KEL.CIGOONG/2020</t>
  </si>
  <si>
    <t>Lenovo AIO A 340/ I3 - 10110/4 /1TB/ 21.5/ WIN.10</t>
  </si>
  <si>
    <t>HP RYZEN3 3300/ 4GB/ 256GB/ 14"/ WIN 10</t>
  </si>
  <si>
    <t>900/021-SP/Kel.CIGOONG/VIII/2020</t>
  </si>
  <si>
    <t>2 tungku + regulator + tabung gas</t>
  </si>
  <si>
    <t>2 L</t>
  </si>
  <si>
    <t>+galon</t>
  </si>
  <si>
    <t>16"</t>
  </si>
  <si>
    <t>900/023-SP/Kel.cigoong/IX/2020</t>
  </si>
  <si>
    <t>22kva</t>
  </si>
  <si>
    <t>MUTIARA BANTEN,CV</t>
  </si>
  <si>
    <t>900/051-CIGOONG/ VI/2020</t>
  </si>
  <si>
    <t>Penampung Air</t>
  </si>
  <si>
    <t>Mesin Pompa Air</t>
  </si>
  <si>
    <t>DAB CS4A 18M</t>
  </si>
  <si>
    <t>TB 160 1550 L</t>
  </si>
  <si>
    <t>027/047/SPKTAMAN/PL /CIGOONG/2020</t>
  </si>
  <si>
    <t>Taman depan kantor</t>
  </si>
  <si>
    <t>DUA BINTANG SEJATI CV</t>
  </si>
  <si>
    <t>Esselon</t>
  </si>
  <si>
    <t>008/900/SPK/Kel.cigoong/III/2020</t>
  </si>
  <si>
    <t>minimalis + meja</t>
  </si>
  <si>
    <t>013/900-S.Perj/Kel.Cigoong/III/2020</t>
  </si>
  <si>
    <t>kanopi/garasi</t>
  </si>
  <si>
    <t>Paving Blok Jl Cirungge RT 008/004</t>
  </si>
  <si>
    <t>Paving Blok Jl Ciwiru RT 013/002</t>
  </si>
  <si>
    <t>pokmas</t>
  </si>
  <si>
    <t>Paving blok lingk pengasinan RT 03/01</t>
  </si>
  <si>
    <t>Paving block Kp Cimoncor Jongjing RT 02/01</t>
  </si>
  <si>
    <t>Paving block cimoncor kubang RT 09/03</t>
  </si>
  <si>
    <t>Paving block cigoong lor RT 01/01</t>
  </si>
  <si>
    <t>PENGAMPELAN</t>
  </si>
  <si>
    <t>027/06/SPK/BRG/PSPK/PPK/KEL.PENGAMPELAN/2020</t>
  </si>
  <si>
    <t>Lenovo AIO A 340  I3 -10110 / 4 / 1TB / 21.5 / VGA / WIN 10</t>
  </si>
  <si>
    <t>Lenovo V330-14IKB</t>
  </si>
  <si>
    <t>ASUS X 441 B</t>
  </si>
  <si>
    <t>Cannon TRS4570S</t>
  </si>
  <si>
    <t>EPSON EB X-400</t>
  </si>
  <si>
    <t>900/021-SP/Kel.Pengampelan/VIII/2020</t>
  </si>
  <si>
    <t>Pompa Air</t>
  </si>
  <si>
    <t>+pasang</t>
  </si>
  <si>
    <t>regulator+tabung gas (2tungku)</t>
  </si>
  <si>
    <t>TV</t>
  </si>
  <si>
    <t>003/900-S.Perj/Kel.Pengampelan/III/2020</t>
  </si>
  <si>
    <t>standing</t>
  </si>
  <si>
    <t>FARES PRATAMA,CV</t>
  </si>
  <si>
    <t>027/02/SPK/KEL.PENGAMPELAN/2020</t>
  </si>
  <si>
    <t>pemagaran</t>
  </si>
  <si>
    <t>001/900-SPK/Kel.Pengampelan/III/2020</t>
  </si>
  <si>
    <t>Paving Block RT 02/01 gang kuburan terusan 2019</t>
  </si>
  <si>
    <t>Drainase kp bendung rt 13/04</t>
  </si>
  <si>
    <t>Paving Blok RT 02/01</t>
  </si>
  <si>
    <t>Paving Block RT 01/01</t>
  </si>
  <si>
    <t>Drainase RW 03</t>
  </si>
  <si>
    <t>Drainase Cirogol RW 02</t>
  </si>
  <si>
    <t>KIARA</t>
  </si>
  <si>
    <t>FARREL SIDQI,CV</t>
  </si>
  <si>
    <t>027/06/SPK/BRG/PSPK/PPK/KEL.KIARA/2020</t>
  </si>
  <si>
    <t>HP AIO 22-C0051D</t>
  </si>
  <si>
    <t>Assus ASUS A 409 F</t>
  </si>
  <si>
    <t>Assus A 412 FA</t>
  </si>
  <si>
    <t>Cannon G2010</t>
  </si>
  <si>
    <t>900/022-SP/Kel.KIARA/VIII/2020</t>
  </si>
  <si>
    <t>kalkulator</t>
  </si>
  <si>
    <t>12 digit</t>
  </si>
  <si>
    <t>gordyn</t>
  </si>
  <si>
    <t>Dinding 66m3/h, 45cm</t>
  </si>
  <si>
    <t>1500 L</t>
  </si>
  <si>
    <t>Dorong besi</t>
  </si>
  <si>
    <t>900/020-SP/Kel.KIARA/VIII/2020</t>
  </si>
  <si>
    <t>Jetpump</t>
  </si>
  <si>
    <t>5500 watt</t>
  </si>
  <si>
    <t>Tabung Gas</t>
  </si>
  <si>
    <t>3kg</t>
  </si>
  <si>
    <t>MUTIARA BANTEN CITRA RAYA,PT</t>
  </si>
  <si>
    <t>900/01-kiara/V/2020</t>
  </si>
  <si>
    <t>Kanopi</t>
  </si>
  <si>
    <t>015/900-SPK/Kel.Kiara/III/2020</t>
  </si>
  <si>
    <t>DUTA ABIMANYU FADILAH</t>
  </si>
  <si>
    <t>018/900-S.Perj/Kel.Kiara/III/2020</t>
  </si>
  <si>
    <t>027/900-S.Perj/KEL .KIARA/III/2020</t>
  </si>
  <si>
    <t>washtuffle</t>
  </si>
  <si>
    <t>Pengecoran jl Lingk Prisen RT 01/03</t>
  </si>
  <si>
    <t>gedung posyandu RT 01/03</t>
  </si>
  <si>
    <t>Paving block Lingk Prisen RT 01/03</t>
  </si>
  <si>
    <t>Drainase Jl Prisen RT 01/03</t>
  </si>
  <si>
    <t>TPT lingk Prisen RT 01/03</t>
  </si>
  <si>
    <t>TPT lingk Kiara RT 05/01</t>
  </si>
  <si>
    <t>PAGER AGUNG</t>
  </si>
  <si>
    <t>027/06/SPK/BRG/PSPK/PPK/KEL.PAGER AGUNG/2020</t>
  </si>
  <si>
    <t>Assus M 409 D</t>
  </si>
  <si>
    <t>027/01/SPKKanopi/PL/ Pageragung/2020</t>
  </si>
  <si>
    <t>009/900-S.Perj/Kel.Pageragung/III/2020</t>
  </si>
  <si>
    <t>007-900/SPK/KEL.PagerAgung/III/20 20</t>
  </si>
  <si>
    <t>012/900-S.Perj/Kel.Pageragung/III/2020</t>
  </si>
  <si>
    <t>TPT RT 016/004 Kp Sadik</t>
  </si>
  <si>
    <t>Teralis Jendela</t>
  </si>
  <si>
    <t>teralis</t>
  </si>
  <si>
    <t>Paving blok kp sadik RT 12</t>
  </si>
  <si>
    <t>TPT Jl. Kp Simangu Cilik RT 007</t>
  </si>
  <si>
    <t>KALODRAN</t>
  </si>
  <si>
    <t>CV KHISRIPAS</t>
  </si>
  <si>
    <t>kipas angin</t>
  </si>
  <si>
    <t>penampung air bersih</t>
  </si>
  <si>
    <t>tangga lipat</t>
  </si>
  <si>
    <t>Televisi</t>
  </si>
  <si>
    <t>papan nama kantor</t>
  </si>
  <si>
    <t>HP AIO 22 DD 0117d</t>
  </si>
  <si>
    <t>027/06/SPP/BRG/PSPK/PPK/KEL.KALOD RAN/2020</t>
  </si>
  <si>
    <t>Assus A 409 F</t>
  </si>
  <si>
    <t>CANNON G 2010</t>
  </si>
  <si>
    <t>Type WB-05</t>
  </si>
  <si>
    <t>1PK</t>
  </si>
  <si>
    <t>900/022-S.Perj/Kel.Kalodran/III/2020</t>
  </si>
  <si>
    <t>027/01/SPKMeubel/PL/Kalodran/2020</t>
  </si>
  <si>
    <t>meja kerja</t>
  </si>
  <si>
    <t>kursi kerja</t>
  </si>
  <si>
    <t>minilamis +meja</t>
  </si>
  <si>
    <t>kursi tunggu</t>
  </si>
  <si>
    <t>hotmik jl pakuncen wotgalih</t>
  </si>
  <si>
    <t>pokmas KALODRAN BERDIKARI</t>
  </si>
  <si>
    <t xml:space="preserve"> Paving Block Kp.Wotgalih</t>
  </si>
  <si>
    <t>Beton Tak Bertulang Kp. Lipaso</t>
  </si>
  <si>
    <t>Paving Block Kp. Jami</t>
  </si>
  <si>
    <t>Paving Block Kp. Pakuncen</t>
  </si>
  <si>
    <t>POKMAS MAWAR</t>
  </si>
  <si>
    <t>Paving Blok Lingk Simangu Gede RT 004</t>
  </si>
  <si>
    <t>Paving Blok Lingk Sadik RT 016</t>
  </si>
  <si>
    <t>Paving Blok Lingk Sadik RT 017</t>
  </si>
  <si>
    <t>paving Blok Lingk Cibadak RW 03</t>
  </si>
  <si>
    <t>KEPUREN</t>
  </si>
  <si>
    <t>Lenovo AIO A 340</t>
  </si>
  <si>
    <t>027/06/SPK/BRG/PSPK/PPK/KEL.KEPUREN/2020</t>
  </si>
  <si>
    <t>CANNON TR4570S</t>
  </si>
  <si>
    <t>900/025-SP/KEL.KEPUREN/ VIII/2020</t>
  </si>
  <si>
    <t>Mesin potong Rumput</t>
  </si>
  <si>
    <t>900/020-S.Perj/Kel.Kepuren/III/2020</t>
  </si>
  <si>
    <t>minimalis+ meja</t>
  </si>
  <si>
    <t>900/022-S.Perj/Kel. Kepuren/III /2020</t>
  </si>
  <si>
    <t>900/025-S.Perj/KeKepuren/III /2020</t>
  </si>
  <si>
    <t>POKMAS</t>
  </si>
  <si>
    <t>Posyandu Lingk Andiwung RT 03/02</t>
  </si>
  <si>
    <t>CV Didan Intra Produksi</t>
  </si>
  <si>
    <t>Tralis</t>
  </si>
  <si>
    <t>PAUD Lingk Penangkan RT 02/01</t>
  </si>
  <si>
    <t>Paving Blok Lingk Kepuren RT 01/01</t>
  </si>
  <si>
    <t>Paving Blok Lingk Pengulah RT 05/03</t>
  </si>
  <si>
    <t>Paving Blok RT 04/02</t>
  </si>
  <si>
    <t>Drainase Lingk Andiwung RT 03/02</t>
  </si>
  <si>
    <t>TPT Lingk Penangkan RT 02/01</t>
  </si>
  <si>
    <t>TERITIH</t>
  </si>
  <si>
    <t>ASUS A 409 F</t>
  </si>
  <si>
    <t>ASUS A 412 FA</t>
  </si>
  <si>
    <t>900/020-SP/Kel.teritih/VIII/2020</t>
  </si>
  <si>
    <t>027/06/SPK/BRG/PSPK/PPK/K EL.TERITI H/2020</t>
  </si>
  <si>
    <t>027/05/SPK/KONSTR/PAGAR/PPK/TERITIH/2020</t>
  </si>
  <si>
    <t>900/012-S.Perj/Kel.Teritih/III/2020</t>
  </si>
  <si>
    <t xml:space="preserve">Sofa </t>
  </si>
  <si>
    <t>900/014-S.Perj/Kel.Teritih/III/2 020</t>
  </si>
  <si>
    <t>900/017-S.Perj./Kel.Teritih/III/2020</t>
  </si>
  <si>
    <t>Paving Blok Sidapurna RW 03</t>
  </si>
  <si>
    <t>paving blok RW 02</t>
  </si>
  <si>
    <t>paving blok RW 01</t>
  </si>
  <si>
    <t>Paving blok RW 04</t>
  </si>
  <si>
    <t>Paving Blok RW 05</t>
  </si>
  <si>
    <t>Drainase RW 04</t>
  </si>
  <si>
    <t>Drainase RT 02+RT 04 RW 04</t>
  </si>
  <si>
    <t>Drainase RT 01/02</t>
  </si>
  <si>
    <t>PABUARAN</t>
  </si>
  <si>
    <t>Bangkit jaya CV</t>
  </si>
  <si>
    <t>027/06/SPK/BRG/PSPK/PPK/KEL.PABUARAN/2020</t>
  </si>
  <si>
    <t>ASUS X 441 UA</t>
  </si>
  <si>
    <t xml:space="preserve">EPSON EB-X400  </t>
  </si>
  <si>
    <t>900/022- 15.042.500 SPerj/Kel.P abuaran/IX /2020</t>
  </si>
  <si>
    <t>CV KRISRIPAS</t>
  </si>
  <si>
    <t>900/42- 7.340.000 SP/KEL.PI PITAN/VIII/2020</t>
  </si>
  <si>
    <t>genset</t>
  </si>
  <si>
    <t>900/022-S.Perj/Kel.Pabuaran/III/2020</t>
  </si>
  <si>
    <t>027/01/SPKMeubel/PL/Pabuaran/2020</t>
  </si>
  <si>
    <t>Rehab ruang karang taruna</t>
  </si>
  <si>
    <t>Paving Blok Ling Kamanggisan RT 07/02</t>
  </si>
  <si>
    <t>Alat olahraga</t>
  </si>
  <si>
    <t>Tenis meja</t>
  </si>
  <si>
    <t>paving Blok lingk Cipugur</t>
  </si>
  <si>
    <t>paving blok jl. Pabuaran</t>
  </si>
  <si>
    <t>paving blok ling pelumasan</t>
  </si>
  <si>
    <t>paving blok jl. Pagedangan</t>
  </si>
  <si>
    <t xml:space="preserve">Lenovo AIO A 340 </t>
  </si>
  <si>
    <t>027/06/SPK/BRG/PSPK/PPK/KEL.PASULUHAN/2020</t>
  </si>
  <si>
    <t>900/022-S.Perj/Kel.Pasuluhan/III/2020</t>
  </si>
  <si>
    <t>027/01/SPKMeubel/PL/ Pasuluhan/2020</t>
  </si>
  <si>
    <t>meja rapat</t>
  </si>
  <si>
    <t>minimali + meja</t>
  </si>
  <si>
    <t>027/491/SPK/KEL.PASULUHAN/2020</t>
  </si>
  <si>
    <t>gudang</t>
  </si>
  <si>
    <t>Paving Blok RT 03/02</t>
  </si>
  <si>
    <t>drainase RT 10/03</t>
  </si>
  <si>
    <t>paving blok RT 7 menuju RT 12 RW 03</t>
  </si>
  <si>
    <t>paving blok RT 01/01</t>
  </si>
  <si>
    <t>paving blok rt 8/3</t>
  </si>
  <si>
    <t>Drainase RT 02/01</t>
  </si>
  <si>
    <t>Drainase RT 04/02</t>
  </si>
  <si>
    <t>TEGALSARI</t>
  </si>
  <si>
    <t>027/06/SP 18.600.000 K/BRG/PS PK/PPK/K EL.TEGAL SARI/2020</t>
  </si>
  <si>
    <t>DELL VOSTRO 3480</t>
  </si>
  <si>
    <t>027/03/SPK/KONSTR/PSPK/PPK/KEL.TEGALSARI/2020</t>
  </si>
  <si>
    <t>ALMAGADA RAYA SEJAHTERA,CV</t>
  </si>
  <si>
    <t>900/020-SP/KEL.TEGALSARI/VIII/2020</t>
  </si>
  <si>
    <t>kotak saran</t>
  </si>
  <si>
    <t>900/022-S.Perj/Kel.Tegalsari/III/2020</t>
  </si>
  <si>
    <t>027/01/SPKMeubel/PL/ Tegalsari/2020</t>
  </si>
  <si>
    <t xml:space="preserve">sofa </t>
  </si>
  <si>
    <t>Hotmik Jl Lingk RT 03/01</t>
  </si>
  <si>
    <t>paving blok RT 12</t>
  </si>
  <si>
    <t>paving blok RT 01</t>
  </si>
  <si>
    <t>Paving Blok RT 03</t>
  </si>
  <si>
    <t>paving blok RT 05</t>
  </si>
  <si>
    <t>paving blok RT 02</t>
  </si>
  <si>
    <t>paving blok RT 13</t>
  </si>
  <si>
    <t>PIPITAN</t>
  </si>
  <si>
    <t>027/06/SPK/BRG/PSPK/PPK/K EL.PIPITAN/2020</t>
  </si>
  <si>
    <t>900/215-SP/KEL.PIPITAN/VIII/2020</t>
  </si>
  <si>
    <t>1,8 L</t>
  </si>
  <si>
    <t>500 L</t>
  </si>
  <si>
    <t>32" + antena + pemasangan</t>
  </si>
  <si>
    <t>Lemari es</t>
  </si>
  <si>
    <t>900/023-S.Perj/Kel.Pipitan/VII/2020</t>
  </si>
  <si>
    <t>1 pk</t>
  </si>
  <si>
    <t>900/022- 6.990.500 S.Perj/Kel. Pipitan/III/2 020</t>
  </si>
  <si>
    <t>027/03/SPKMeubel/PL/ Pipitan/2020</t>
  </si>
  <si>
    <t>Paving Blok jl. Kelurahan RT 005/02</t>
  </si>
  <si>
    <t>paving blok RT 013/004</t>
  </si>
  <si>
    <t>Paving Blok RT 20/05</t>
  </si>
  <si>
    <t>paving blok RT 02/01</t>
  </si>
  <si>
    <t>paving blok RW 06</t>
  </si>
  <si>
    <t>Drainase RT 32/07</t>
  </si>
  <si>
    <t>drainase RT 014/04</t>
  </si>
  <si>
    <t>LEBAKWANGI</t>
  </si>
  <si>
    <t>027/06/SPK/BRG/PSPK/PPK/KEL.LEBAKWANGI/200</t>
  </si>
  <si>
    <t>lenovo AIO A 340</t>
  </si>
  <si>
    <t>Epson L1800</t>
  </si>
  <si>
    <t>900/026- 7.340.000 SP/KEL.LE BAKWANG I/VIII/2020</t>
  </si>
  <si>
    <t>027/01/SPKMeubel/PL/Lebakwangi/2020</t>
  </si>
  <si>
    <t>Paving blok jl lingk lebak RT 02/04</t>
  </si>
  <si>
    <t>paving blok RT 03/04</t>
  </si>
  <si>
    <t>paving blok jl gang kamzah Lingk. Cibonteng RT/RW 001/001</t>
  </si>
  <si>
    <t>paving blok jl TPU Cibonteng RT/RW 002/001</t>
  </si>
  <si>
    <t>paving blok jl. Ling Dukuh Mushola RT/RW 001/004</t>
  </si>
  <si>
    <t>Paving Block Jl. Cimareng Poncol RT 03/05</t>
  </si>
  <si>
    <t>Paving Block Jl. Cidangur RT 01/03</t>
  </si>
  <si>
    <t>Paving Block Jl. Katepeng RT 03/02</t>
  </si>
  <si>
    <t>273,9 (83X3,3) M2</t>
  </si>
  <si>
    <t>258,7 M2</t>
  </si>
  <si>
    <t>618 (206X3X15) M2</t>
  </si>
  <si>
    <t>510 (170X3) M2</t>
  </si>
  <si>
    <t>J U M L A H   T O T A L</t>
  </si>
  <si>
    <t>KECAMATAN WALANTAKA</t>
  </si>
  <si>
    <t>DATA  PERJANJIAN KERJA BELANJA MODAL TAHUN 2020</t>
  </si>
  <si>
    <t>Camat Walantaka</t>
  </si>
  <si>
    <t>KARSONO, S.Sos.M.Si</t>
  </si>
  <si>
    <t>NIP. 197208081993031006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</si>
</sst>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33333"/>
      <name val="Verdana"/>
      <family val="2"/>
    </font>
    <font>
      <b/>
      <sz val="9"/>
      <color rgb="FF333333"/>
      <name val="Verdana"/>
      <family val="2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4" fillId="0" borderId="0">
      <alignment vertical="top"/>
    </xf>
    <xf numFmtId="41" fontId="2" fillId="0" borderId="0" applyFont="0" applyFill="0" applyBorder="0" applyAlignment="0" applyProtection="0"/>
    <xf numFmtId="43" fontId="4" fillId="0" borderId="0" applyFont="0" applyFill="0" applyBorder="0" applyAlignment="0" applyProtection="0">
      <alignment vertical="top"/>
    </xf>
  </cellStyleXfs>
  <cellXfs count="314">
    <xf numFmtId="0" fontId="0" fillId="0" borderId="0" xfId="0"/>
    <xf numFmtId="164" fontId="0" fillId="0" borderId="0" xfId="1" applyFont="1"/>
    <xf numFmtId="3" fontId="7" fillId="0" borderId="0" xfId="0" applyNumberFormat="1" applyFont="1"/>
    <xf numFmtId="0" fontId="0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164" fontId="0" fillId="2" borderId="6" xfId="1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64" fontId="0" fillId="0" borderId="1" xfId="1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164" fontId="0" fillId="0" borderId="12" xfId="1" applyFont="1" applyFill="1" applyBorder="1" applyAlignment="1">
      <alignment horizontal="center" vertical="top" wrapText="1"/>
    </xf>
    <xf numFmtId="164" fontId="0" fillId="0" borderId="9" xfId="1" applyFont="1" applyFill="1" applyBorder="1" applyAlignment="1">
      <alignment horizontal="center" vertical="top" wrapText="1"/>
    </xf>
    <xf numFmtId="0" fontId="6" fillId="0" borderId="14" xfId="0" quotePrefix="1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5" fillId="0" borderId="8" xfId="0" applyFont="1" applyBorder="1" applyAlignment="1">
      <alignment horizontal="center" vertical="top" wrapText="1"/>
    </xf>
    <xf numFmtId="14" fontId="0" fillId="0" borderId="8" xfId="0" applyNumberFormat="1" applyBorder="1" applyAlignment="1">
      <alignment horizontal="center" vertical="top" wrapText="1"/>
    </xf>
    <xf numFmtId="164" fontId="0" fillId="0" borderId="8" xfId="1" applyFont="1" applyBorder="1" applyAlignment="1">
      <alignment horizontal="center" vertical="top" wrapText="1"/>
    </xf>
    <xf numFmtId="14" fontId="0" fillId="0" borderId="9" xfId="0" applyNumberFormat="1" applyBorder="1" applyAlignment="1">
      <alignment horizontal="center" vertical="top" wrapText="1"/>
    </xf>
    <xf numFmtId="164" fontId="0" fillId="0" borderId="9" xfId="1" applyFont="1" applyBorder="1" applyAlignment="1">
      <alignment horizontal="center" vertical="top" wrapText="1"/>
    </xf>
    <xf numFmtId="164" fontId="0" fillId="0" borderId="9" xfId="0" applyNumberFormat="1" applyBorder="1" applyAlignment="1">
      <alignment horizontal="center" vertical="top" wrapText="1"/>
    </xf>
    <xf numFmtId="164" fontId="0" fillId="0" borderId="0" xfId="0" applyNumberFormat="1" applyAlignment="1">
      <alignment horizontal="center" vertical="top"/>
    </xf>
    <xf numFmtId="14" fontId="0" fillId="0" borderId="11" xfId="0" applyNumberFormat="1" applyBorder="1" applyAlignment="1">
      <alignment horizontal="center" vertical="top" wrapText="1"/>
    </xf>
    <xf numFmtId="164" fontId="0" fillId="0" borderId="11" xfId="1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164" fontId="0" fillId="0" borderId="1" xfId="1" applyFont="1" applyBorder="1" applyAlignment="1">
      <alignment horizontal="center" vertical="top" wrapText="1"/>
    </xf>
    <xf numFmtId="164" fontId="0" fillId="4" borderId="1" xfId="1" applyFont="1" applyFill="1" applyBorder="1" applyAlignment="1">
      <alignment horizontal="center" vertical="top" wrapText="1"/>
    </xf>
    <xf numFmtId="164" fontId="0" fillId="4" borderId="1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64" fontId="0" fillId="0" borderId="12" xfId="1" applyFont="1" applyBorder="1" applyAlignment="1">
      <alignment horizontal="center" vertical="top" wrapText="1"/>
    </xf>
    <xf numFmtId="16" fontId="0" fillId="0" borderId="9" xfId="0" applyNumberFormat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17" fontId="0" fillId="0" borderId="9" xfId="0" applyNumberFormat="1" applyBorder="1" applyAlignment="1">
      <alignment horizontal="center" vertical="top" wrapText="1"/>
    </xf>
    <xf numFmtId="3" fontId="0" fillId="0" borderId="9" xfId="0" applyNumberForma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/>
    </xf>
    <xf numFmtId="164" fontId="0" fillId="0" borderId="8" xfId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164" fontId="0" fillId="0" borderId="0" xfId="0" applyNumberFormat="1" applyBorder="1" applyAlignment="1">
      <alignment horizontal="center" vertical="top"/>
    </xf>
    <xf numFmtId="0" fontId="5" fillId="0" borderId="13" xfId="0" applyFont="1" applyBorder="1" applyAlignment="1">
      <alignment horizontal="center" vertical="top" wrapText="1"/>
    </xf>
    <xf numFmtId="0" fontId="0" fillId="0" borderId="9" xfId="0" quotePrefix="1" applyBorder="1" applyAlignment="1">
      <alignment horizontal="center" vertical="top" wrapText="1"/>
    </xf>
    <xf numFmtId="3" fontId="0" fillId="0" borderId="0" xfId="0" applyNumberFormat="1" applyBorder="1" applyAlignment="1">
      <alignment horizontal="center" vertical="top"/>
    </xf>
    <xf numFmtId="3" fontId="7" fillId="0" borderId="0" xfId="0" applyNumberFormat="1" applyFont="1" applyAlignment="1">
      <alignment horizontal="center" vertical="top"/>
    </xf>
    <xf numFmtId="164" fontId="0" fillId="0" borderId="11" xfId="1" applyFont="1" applyFill="1" applyBorder="1" applyAlignment="1">
      <alignment horizontal="center" vertical="top" wrapText="1"/>
    </xf>
    <xf numFmtId="16" fontId="0" fillId="0" borderId="12" xfId="0" applyNumberFormat="1" applyBorder="1" applyAlignment="1">
      <alignment horizontal="center" vertical="top" wrapText="1"/>
    </xf>
    <xf numFmtId="0" fontId="0" fillId="0" borderId="13" xfId="0" applyBorder="1" applyAlignment="1">
      <alignment horizontal="center" vertical="top"/>
    </xf>
    <xf numFmtId="3" fontId="0" fillId="0" borderId="0" xfId="0" applyNumberFormat="1" applyAlignment="1">
      <alignment horizontal="center" vertical="top"/>
    </xf>
    <xf numFmtId="164" fontId="0" fillId="0" borderId="13" xfId="0" applyNumberFormat="1" applyBorder="1" applyAlignment="1">
      <alignment horizontal="center" vertical="top"/>
    </xf>
    <xf numFmtId="164" fontId="6" fillId="0" borderId="15" xfId="1" applyFont="1" applyBorder="1" applyAlignment="1">
      <alignment horizontal="center" vertical="top"/>
    </xf>
    <xf numFmtId="164" fontId="0" fillId="0" borderId="10" xfId="1" applyFont="1" applyBorder="1" applyAlignment="1">
      <alignment horizontal="center" vertical="top" wrapText="1"/>
    </xf>
    <xf numFmtId="0" fontId="0" fillId="0" borderId="12" xfId="0" quotePrefix="1" applyBorder="1" applyAlignment="1">
      <alignment horizontal="center" vertical="top" wrapText="1"/>
    </xf>
    <xf numFmtId="164" fontId="0" fillId="3" borderId="4" xfId="1" applyFont="1" applyFill="1" applyBorder="1" applyAlignment="1">
      <alignment horizontal="center" vertical="top" wrapText="1"/>
    </xf>
    <xf numFmtId="164" fontId="0" fillId="0" borderId="4" xfId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164" fontId="0" fillId="0" borderId="0" xfId="1" applyFont="1" applyAlignment="1">
      <alignment horizontal="center" vertical="top"/>
    </xf>
    <xf numFmtId="164" fontId="0" fillId="6" borderId="12" xfId="1" applyFont="1" applyFill="1" applyBorder="1" applyAlignment="1">
      <alignment horizontal="center" vertical="top" wrapText="1"/>
    </xf>
    <xf numFmtId="164" fontId="0" fillId="6" borderId="9" xfId="1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16" fontId="0" fillId="0" borderId="12" xfId="0" applyNumberFormat="1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16" fontId="0" fillId="0" borderId="12" xfId="0" applyNumberForma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16" fontId="0" fillId="0" borderId="9" xfId="0" applyNumberForma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64" fontId="0" fillId="7" borderId="12" xfId="1" applyFont="1" applyFill="1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16" fontId="0" fillId="0" borderId="9" xfId="0" applyNumberForma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164" fontId="0" fillId="4" borderId="4" xfId="1" applyFont="1" applyFill="1" applyBorder="1" applyAlignment="1">
      <alignment horizontal="center" vertical="top" wrapText="1"/>
    </xf>
    <xf numFmtId="164" fontId="0" fillId="4" borderId="4" xfId="0" applyNumberForma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3" fontId="0" fillId="0" borderId="0" xfId="0" applyNumberFormat="1"/>
    <xf numFmtId="3" fontId="8" fillId="0" borderId="0" xfId="0" applyNumberFormat="1" applyFont="1"/>
    <xf numFmtId="164" fontId="0" fillId="6" borderId="11" xfId="1" applyFont="1" applyFill="1" applyBorder="1" applyAlignment="1">
      <alignment horizontal="center" vertical="top" wrapText="1"/>
    </xf>
    <xf numFmtId="164" fontId="0" fillId="0" borderId="6" xfId="1" applyFont="1" applyBorder="1" applyAlignment="1">
      <alignment horizontal="center" vertical="top" wrapText="1"/>
    </xf>
    <xf numFmtId="164" fontId="0" fillId="0" borderId="6" xfId="0" applyNumberFormat="1" applyBorder="1" applyAlignment="1">
      <alignment horizontal="center" vertical="top" wrapText="1"/>
    </xf>
    <xf numFmtId="164" fontId="0" fillId="0" borderId="11" xfId="0" applyNumberForma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9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14" fontId="0" fillId="0" borderId="8" xfId="0" applyNumberFormat="1" applyFill="1" applyBorder="1" applyAlignment="1">
      <alignment horizontal="left" vertical="top" wrapText="1"/>
    </xf>
    <xf numFmtId="0" fontId="0" fillId="0" borderId="0" xfId="0" applyFill="1" applyAlignment="1">
      <alignment horizontal="center" vertical="top"/>
    </xf>
    <xf numFmtId="14" fontId="0" fillId="0" borderId="9" xfId="0" applyNumberForma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center" vertical="top" wrapText="1"/>
    </xf>
    <xf numFmtId="0" fontId="0" fillId="0" borderId="11" xfId="0" applyFill="1" applyBorder="1" applyAlignment="1">
      <alignment horizontal="left" vertical="top" wrapText="1"/>
    </xf>
    <xf numFmtId="14" fontId="0" fillId="0" borderId="11" xfId="0" applyNumberForma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vertical="top" wrapText="1"/>
    </xf>
    <xf numFmtId="164" fontId="0" fillId="0" borderId="1" xfId="1" applyFont="1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0" fillId="0" borderId="12" xfId="0" applyFill="1" applyBorder="1" applyAlignment="1">
      <alignment horizontal="left" vertical="top" wrapText="1"/>
    </xf>
    <xf numFmtId="17" fontId="0" fillId="0" borderId="9" xfId="0" applyNumberFormat="1" applyFill="1" applyBorder="1" applyAlignment="1">
      <alignment horizontal="left" vertical="top" wrapText="1"/>
    </xf>
    <xf numFmtId="3" fontId="0" fillId="0" borderId="9" xfId="0" applyNumberFormat="1" applyFill="1" applyBorder="1" applyAlignment="1">
      <alignment horizontal="righ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9" xfId="0" quotePrefix="1" applyFill="1" applyBorder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16" fontId="0" fillId="0" borderId="9" xfId="0" applyNumberFormat="1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/>
    </xf>
    <xf numFmtId="3" fontId="0" fillId="0" borderId="0" xfId="0" applyNumberFormat="1" applyFill="1" applyAlignment="1">
      <alignment horizontal="center" vertical="top"/>
    </xf>
    <xf numFmtId="0" fontId="6" fillId="0" borderId="14" xfId="0" quotePrefix="1" applyFont="1" applyFill="1" applyBorder="1" applyAlignment="1">
      <alignment horizontal="left" vertical="top" wrapText="1"/>
    </xf>
    <xf numFmtId="164" fontId="6" fillId="0" borderId="15" xfId="1" applyFont="1" applyFill="1" applyBorder="1" applyAlignment="1">
      <alignment horizontal="center" vertical="top"/>
    </xf>
    <xf numFmtId="164" fontId="0" fillId="0" borderId="10" xfId="1" applyFont="1" applyFill="1" applyBorder="1" applyAlignment="1">
      <alignment horizontal="center" vertical="top" wrapText="1"/>
    </xf>
    <xf numFmtId="0" fontId="0" fillId="0" borderId="12" xfId="0" quotePrefix="1" applyFill="1" applyBorder="1" applyAlignment="1">
      <alignment horizontal="left" vertical="top" wrapText="1"/>
    </xf>
    <xf numFmtId="16" fontId="0" fillId="0" borderId="12" xfId="0" applyNumberFormat="1" applyFill="1" applyBorder="1" applyAlignment="1">
      <alignment horizontal="left" vertical="top" wrapText="1"/>
    </xf>
    <xf numFmtId="164" fontId="0" fillId="0" borderId="4" xfId="1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/>
    </xf>
    <xf numFmtId="0" fontId="0" fillId="0" borderId="0" xfId="0" applyFill="1" applyAlignment="1">
      <alignment horizontal="left"/>
    </xf>
    <xf numFmtId="0" fontId="5" fillId="0" borderId="10" xfId="0" applyFont="1" applyFill="1" applyBorder="1" applyAlignment="1">
      <alignment horizontal="left" vertical="top" wrapText="1"/>
    </xf>
    <xf numFmtId="164" fontId="0" fillId="0" borderId="0" xfId="1" applyFont="1" applyFill="1" applyAlignment="1">
      <alignment horizontal="center" vertical="top"/>
    </xf>
    <xf numFmtId="3" fontId="0" fillId="0" borderId="0" xfId="0" applyNumberFormat="1" applyFill="1"/>
    <xf numFmtId="0" fontId="0" fillId="0" borderId="6" xfId="0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164" fontId="3" fillId="0" borderId="6" xfId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0" fillId="0" borderId="1" xfId="1" applyFont="1" applyFill="1" applyBorder="1" applyAlignment="1">
      <alignment vertical="top"/>
    </xf>
    <xf numFmtId="0" fontId="0" fillId="0" borderId="3" xfId="0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/>
    <xf numFmtId="0" fontId="0" fillId="0" borderId="1" xfId="0" applyFill="1" applyBorder="1" applyAlignment="1">
      <alignment horizontal="left"/>
    </xf>
    <xf numFmtId="0" fontId="10" fillId="0" borderId="0" xfId="0" applyFont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14" fontId="0" fillId="0" borderId="11" xfId="0" applyNumberFormat="1" applyFill="1" applyBorder="1" applyAlignment="1">
      <alignment horizontal="left" vertical="top" wrapText="1"/>
    </xf>
    <xf numFmtId="14" fontId="0" fillId="0" borderId="4" xfId="0" applyNumberFormat="1" applyFill="1" applyBorder="1" applyAlignment="1">
      <alignment horizontal="left" vertical="top" wrapText="1"/>
    </xf>
    <xf numFmtId="14" fontId="0" fillId="0" borderId="12" xfId="0" applyNumberForma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16" fontId="0" fillId="0" borderId="11" xfId="0" applyNumberFormat="1" applyFill="1" applyBorder="1" applyAlignment="1">
      <alignment horizontal="left" vertical="top" wrapText="1"/>
    </xf>
    <xf numFmtId="16" fontId="0" fillId="0" borderId="12" xfId="0" applyNumberForma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14" fontId="0" fillId="0" borderId="5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top"/>
    </xf>
    <xf numFmtId="0" fontId="0" fillId="0" borderId="23" xfId="0" applyFill="1" applyBorder="1" applyAlignment="1">
      <alignment horizontal="left" vertical="top" wrapText="1"/>
    </xf>
    <xf numFmtId="0" fontId="0" fillId="0" borderId="19" xfId="0" applyFill="1" applyBorder="1" applyAlignment="1">
      <alignment horizontal="left" vertical="top" wrapText="1"/>
    </xf>
    <xf numFmtId="16" fontId="0" fillId="0" borderId="5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/>
    </xf>
    <xf numFmtId="0" fontId="0" fillId="0" borderId="20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 wrapText="1"/>
    </xf>
    <xf numFmtId="0" fontId="0" fillId="0" borderId="21" xfId="0" applyFill="1" applyBorder="1" applyAlignment="1">
      <alignment horizontal="left" vertical="top" wrapText="1"/>
    </xf>
    <xf numFmtId="16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0" fillId="0" borderId="26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0" borderId="27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0" fillId="0" borderId="18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22" xfId="0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16" fontId="0" fillId="0" borderId="9" xfId="0" applyNumberForma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16" fontId="0" fillId="0" borderId="8" xfId="0" applyNumberForma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top" wrapText="1"/>
    </xf>
    <xf numFmtId="0" fontId="0" fillId="4" borderId="9" xfId="0" applyFill="1" applyBorder="1" applyAlignment="1">
      <alignment horizontal="center" vertical="top" wrapText="1"/>
    </xf>
    <xf numFmtId="0" fontId="0" fillId="4" borderId="10" xfId="0" applyFill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16" fontId="0" fillId="0" borderId="5" xfId="0" applyNumberFormat="1" applyBorder="1" applyAlignment="1">
      <alignment horizontal="center" vertical="top" wrapText="1"/>
    </xf>
    <xf numFmtId="16" fontId="0" fillId="0" borderId="4" xfId="0" applyNumberFormat="1" applyBorder="1" applyAlignment="1">
      <alignment horizontal="center" vertical="top" wrapText="1"/>
    </xf>
    <xf numFmtId="16" fontId="0" fillId="0" borderId="12" xfId="0" applyNumberFormat="1" applyBorder="1" applyAlignment="1">
      <alignment horizontal="center" vertical="top" wrapText="1"/>
    </xf>
    <xf numFmtId="16" fontId="0" fillId="0" borderId="11" xfId="0" applyNumberFormat="1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16" fontId="0" fillId="0" borderId="9" xfId="0" applyNumberForma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 wrapText="1"/>
    </xf>
    <xf numFmtId="0" fontId="0" fillId="4" borderId="4" xfId="0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 vertical="top" wrapText="1"/>
    </xf>
    <xf numFmtId="0" fontId="0" fillId="4" borderId="22" xfId="0" applyFill="1" applyBorder="1" applyAlignment="1">
      <alignment horizontal="center" vertical="top" wrapText="1"/>
    </xf>
    <xf numFmtId="0" fontId="0" fillId="4" borderId="20" xfId="0" applyFill="1" applyBorder="1" applyAlignment="1">
      <alignment horizontal="center" vertical="top" wrapText="1"/>
    </xf>
    <xf numFmtId="0" fontId="0" fillId="4" borderId="17" xfId="0" applyFill="1" applyBorder="1" applyAlignment="1">
      <alignment horizontal="center" vertical="top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" xfId="0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horizontal="center" vertical="top" wrapText="1"/>
    </xf>
    <xf numFmtId="0" fontId="0" fillId="2" borderId="3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3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26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4" fontId="0" fillId="0" borderId="11" xfId="0" applyNumberFormat="1" applyBorder="1" applyAlignment="1">
      <alignment horizontal="center" vertical="top" wrapText="1"/>
    </xf>
    <xf numFmtId="14" fontId="0" fillId="0" borderId="4" xfId="0" applyNumberFormat="1" applyBorder="1" applyAlignment="1">
      <alignment horizontal="center" vertical="top" wrapText="1"/>
    </xf>
    <xf numFmtId="14" fontId="0" fillId="0" borderId="12" xfId="0" applyNumberForma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14" fontId="0" fillId="0" borderId="5" xfId="0" applyNumberForma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16" fontId="0" fillId="0" borderId="8" xfId="0" applyNumberFormat="1" applyBorder="1" applyAlignment="1">
      <alignment horizontal="center" vertical="top" wrapText="1"/>
    </xf>
  </cellXfs>
  <cellStyles count="7">
    <cellStyle name="Comma [0]" xfId="1" builtinId="6"/>
    <cellStyle name="Comma [0] 2" xfId="5"/>
    <cellStyle name="Comma 2" xfId="2"/>
    <cellStyle name="Comma 2 2" xfId="6"/>
    <cellStyle name="Normal" xfId="0" builtinId="0"/>
    <cellStyle name="Normal 2" xfId="3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7"/>
  <sheetViews>
    <sheetView tabSelected="1" view="pageBreakPreview" topLeftCell="A21" zoomScale="78" zoomScaleNormal="75" zoomScaleSheetLayoutView="78" workbookViewId="0">
      <selection activeCell="F21" sqref="F21"/>
    </sheetView>
  </sheetViews>
  <sheetFormatPr defaultRowHeight="15"/>
  <cols>
    <col min="1" max="1" width="9.140625" style="24"/>
    <col min="2" max="2" width="21.7109375" style="24" customWidth="1"/>
    <col min="3" max="3" width="29.140625" style="24" customWidth="1"/>
    <col min="4" max="4" width="36" style="64" customWidth="1"/>
    <col min="5" max="5" width="12.85546875" style="24" customWidth="1"/>
    <col min="6" max="6" width="34.5703125" style="25" customWidth="1"/>
    <col min="7" max="7" width="31" style="24" customWidth="1"/>
    <col min="8" max="8" width="8" style="24" customWidth="1"/>
    <col min="9" max="9" width="14.28515625" style="65" bestFit="1" customWidth="1"/>
    <col min="10" max="10" width="14.7109375" style="65" customWidth="1"/>
    <col min="11" max="16384" width="9.140625" style="24"/>
  </cols>
  <sheetData>
    <row r="1" spans="1:14" ht="15.75">
      <c r="A1" s="185" t="s">
        <v>431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4" ht="15.75">
      <c r="A2" s="185" t="s">
        <v>430</v>
      </c>
      <c r="B2" s="185"/>
      <c r="C2" s="185"/>
      <c r="D2" s="185"/>
      <c r="E2" s="185"/>
      <c r="F2" s="185"/>
      <c r="G2" s="185"/>
      <c r="H2" s="185"/>
      <c r="I2" s="185"/>
      <c r="J2" s="185"/>
    </row>
    <row r="5" spans="1:14" s="26" customFormat="1" ht="28.5" customHeight="1">
      <c r="A5" s="186" t="s">
        <v>0</v>
      </c>
      <c r="B5" s="186" t="s">
        <v>112</v>
      </c>
      <c r="C5" s="186" t="s">
        <v>10</v>
      </c>
      <c r="D5" s="186"/>
      <c r="E5" s="186"/>
      <c r="F5" s="186" t="s">
        <v>16</v>
      </c>
      <c r="G5" s="186"/>
      <c r="H5" s="186"/>
      <c r="I5" s="186"/>
      <c r="J5" s="186"/>
      <c r="K5" s="179"/>
      <c r="L5" s="179"/>
      <c r="M5" s="179"/>
      <c r="N5" s="179"/>
    </row>
    <row r="6" spans="1:14" s="26" customFormat="1" ht="32.25" customHeight="1">
      <c r="A6" s="186"/>
      <c r="B6" s="186"/>
      <c r="C6" s="175" t="s">
        <v>17</v>
      </c>
      <c r="D6" s="176" t="s">
        <v>18</v>
      </c>
      <c r="E6" s="175" t="s">
        <v>11</v>
      </c>
      <c r="F6" s="170" t="s">
        <v>12</v>
      </c>
      <c r="G6" s="170" t="s">
        <v>13</v>
      </c>
      <c r="H6" s="170" t="s">
        <v>41</v>
      </c>
      <c r="I6" s="172" t="s">
        <v>14</v>
      </c>
      <c r="J6" s="181" t="s">
        <v>15</v>
      </c>
      <c r="K6" s="179"/>
      <c r="L6" s="179"/>
      <c r="M6" s="179"/>
      <c r="N6" s="179"/>
    </row>
    <row r="7" spans="1:14" s="26" customFormat="1">
      <c r="A7" s="124">
        <v>1</v>
      </c>
      <c r="B7" s="124">
        <v>2</v>
      </c>
      <c r="C7" s="124">
        <v>3</v>
      </c>
      <c r="D7" s="123">
        <v>4</v>
      </c>
      <c r="E7" s="124">
        <v>5</v>
      </c>
      <c r="F7" s="122">
        <v>6</v>
      </c>
      <c r="G7" s="124">
        <v>7</v>
      </c>
      <c r="H7" s="124"/>
      <c r="I7" s="177">
        <v>8</v>
      </c>
      <c r="J7" s="177">
        <v>9</v>
      </c>
      <c r="K7" s="179"/>
      <c r="L7" s="179"/>
      <c r="M7" s="179"/>
      <c r="N7" s="179"/>
    </row>
    <row r="8" spans="1:14" ht="13.5" customHeight="1">
      <c r="A8" s="125"/>
      <c r="B8" s="187" t="s">
        <v>19</v>
      </c>
      <c r="C8" s="126" t="s">
        <v>22</v>
      </c>
      <c r="D8" s="127" t="s">
        <v>23</v>
      </c>
      <c r="E8" s="128">
        <v>44176</v>
      </c>
      <c r="F8" s="126" t="s">
        <v>20</v>
      </c>
      <c r="G8" s="126" t="s">
        <v>21</v>
      </c>
      <c r="H8" s="125">
        <v>1</v>
      </c>
      <c r="I8" s="47">
        <f>40800000+900000</f>
        <v>41700000</v>
      </c>
      <c r="J8" s="47">
        <f>I8</f>
        <v>41700000</v>
      </c>
      <c r="K8" s="48"/>
      <c r="L8" s="48"/>
      <c r="M8" s="48"/>
      <c r="N8" s="48"/>
    </row>
    <row r="9" spans="1:14" ht="13.5" customHeight="1">
      <c r="A9" s="120"/>
      <c r="B9" s="188"/>
      <c r="C9" s="118" t="s">
        <v>24</v>
      </c>
      <c r="D9" s="118" t="s">
        <v>25</v>
      </c>
      <c r="E9" s="130">
        <v>44176</v>
      </c>
      <c r="F9" s="118" t="s">
        <v>26</v>
      </c>
      <c r="G9" s="118" t="s">
        <v>27</v>
      </c>
      <c r="H9" s="120">
        <v>1</v>
      </c>
      <c r="I9" s="20">
        <v>9627000</v>
      </c>
      <c r="J9" s="20">
        <f>I9</f>
        <v>9627000</v>
      </c>
      <c r="K9" s="48"/>
      <c r="L9" s="48"/>
      <c r="M9" s="48"/>
      <c r="N9" s="48"/>
    </row>
    <row r="10" spans="1:14" ht="13.5" customHeight="1">
      <c r="A10" s="120"/>
      <c r="B10" s="188"/>
      <c r="C10" s="190" t="s">
        <v>28</v>
      </c>
      <c r="D10" s="190" t="s">
        <v>29</v>
      </c>
      <c r="E10" s="193">
        <v>44173</v>
      </c>
      <c r="F10" s="196" t="s">
        <v>30</v>
      </c>
      <c r="G10" s="118" t="s">
        <v>31</v>
      </c>
      <c r="H10" s="120">
        <v>1</v>
      </c>
      <c r="I10" s="20">
        <v>7000000</v>
      </c>
      <c r="J10" s="20">
        <f>I10</f>
        <v>7000000</v>
      </c>
      <c r="K10" s="48"/>
      <c r="L10" s="48"/>
      <c r="M10" s="48"/>
      <c r="N10" s="48"/>
    </row>
    <row r="11" spans="1:14" ht="13.5" customHeight="1">
      <c r="A11" s="120"/>
      <c r="B11" s="188"/>
      <c r="C11" s="191"/>
      <c r="D11" s="191"/>
      <c r="E11" s="194"/>
      <c r="F11" s="196"/>
      <c r="G11" s="118" t="s">
        <v>32</v>
      </c>
      <c r="H11" s="120">
        <v>1</v>
      </c>
      <c r="I11" s="20">
        <f>3800000+900000</f>
        <v>4700000</v>
      </c>
      <c r="J11" s="20">
        <f>I11</f>
        <v>4700000</v>
      </c>
      <c r="K11" s="48"/>
      <c r="L11" s="48"/>
      <c r="M11" s="48"/>
      <c r="N11" s="48"/>
    </row>
    <row r="12" spans="1:14" ht="13.5" customHeight="1">
      <c r="A12" s="120"/>
      <c r="B12" s="188"/>
      <c r="C12" s="191"/>
      <c r="D12" s="191"/>
      <c r="E12" s="194"/>
      <c r="F12" s="118" t="s">
        <v>33</v>
      </c>
      <c r="G12" s="118" t="s">
        <v>34</v>
      </c>
      <c r="H12" s="120">
        <v>1</v>
      </c>
      <c r="I12" s="20">
        <v>4970000</v>
      </c>
      <c r="J12" s="20">
        <f t="shared" ref="J12:J17" si="0">I12</f>
        <v>4970000</v>
      </c>
      <c r="K12" s="48"/>
      <c r="L12" s="48"/>
      <c r="M12" s="48"/>
      <c r="N12" s="48"/>
    </row>
    <row r="13" spans="1:14" ht="13.5" customHeight="1">
      <c r="A13" s="120"/>
      <c r="B13" s="188"/>
      <c r="C13" s="191"/>
      <c r="D13" s="191"/>
      <c r="E13" s="194"/>
      <c r="F13" s="118" t="s">
        <v>35</v>
      </c>
      <c r="G13" s="118" t="s">
        <v>36</v>
      </c>
      <c r="H13" s="120">
        <v>1</v>
      </c>
      <c r="I13" s="20">
        <v>8100000</v>
      </c>
      <c r="J13" s="20">
        <f t="shared" si="0"/>
        <v>8100000</v>
      </c>
      <c r="K13" s="48"/>
      <c r="L13" s="48"/>
      <c r="M13" s="48"/>
      <c r="N13" s="48"/>
    </row>
    <row r="14" spans="1:14" ht="13.5" customHeight="1">
      <c r="A14" s="120"/>
      <c r="B14" s="188"/>
      <c r="C14" s="191"/>
      <c r="D14" s="191"/>
      <c r="E14" s="194"/>
      <c r="F14" s="196" t="s">
        <v>37</v>
      </c>
      <c r="G14" s="118" t="s">
        <v>38</v>
      </c>
      <c r="H14" s="120">
        <v>1</v>
      </c>
      <c r="I14" s="20">
        <v>2600000</v>
      </c>
      <c r="J14" s="20">
        <f t="shared" si="0"/>
        <v>2600000</v>
      </c>
      <c r="K14" s="48"/>
      <c r="L14" s="48"/>
      <c r="M14" s="48"/>
      <c r="N14" s="48"/>
    </row>
    <row r="15" spans="1:14" ht="13.5" customHeight="1">
      <c r="A15" s="120"/>
      <c r="B15" s="188"/>
      <c r="C15" s="191"/>
      <c r="D15" s="191"/>
      <c r="E15" s="194"/>
      <c r="F15" s="196"/>
      <c r="G15" s="118" t="s">
        <v>39</v>
      </c>
      <c r="H15" s="120">
        <v>1</v>
      </c>
      <c r="I15" s="20">
        <v>841000</v>
      </c>
      <c r="J15" s="20">
        <f t="shared" si="0"/>
        <v>841000</v>
      </c>
      <c r="K15" s="48"/>
      <c r="L15" s="48"/>
      <c r="M15" s="48"/>
      <c r="N15" s="48"/>
    </row>
    <row r="16" spans="1:14" ht="13.5" customHeight="1">
      <c r="A16" s="120"/>
      <c r="B16" s="188"/>
      <c r="C16" s="191"/>
      <c r="D16" s="191"/>
      <c r="E16" s="194"/>
      <c r="F16" s="196"/>
      <c r="G16" s="118" t="s">
        <v>40</v>
      </c>
      <c r="H16" s="120">
        <v>1</v>
      </c>
      <c r="I16" s="20">
        <v>3000000</v>
      </c>
      <c r="J16" s="20">
        <f t="shared" si="0"/>
        <v>3000000</v>
      </c>
      <c r="K16" s="48"/>
      <c r="L16" s="48"/>
      <c r="M16" s="48"/>
      <c r="N16" s="48"/>
    </row>
    <row r="17" spans="1:15" ht="13.5" customHeight="1">
      <c r="A17" s="120"/>
      <c r="B17" s="188"/>
      <c r="C17" s="191"/>
      <c r="D17" s="191"/>
      <c r="E17" s="194"/>
      <c r="F17" s="118" t="s">
        <v>42</v>
      </c>
      <c r="G17" s="118" t="s">
        <v>43</v>
      </c>
      <c r="H17" s="120">
        <v>1</v>
      </c>
      <c r="I17" s="20">
        <v>5750000</v>
      </c>
      <c r="J17" s="20">
        <f t="shared" si="0"/>
        <v>5750000</v>
      </c>
      <c r="K17" s="48"/>
      <c r="L17" s="48"/>
      <c r="M17" s="48"/>
      <c r="N17" s="48"/>
    </row>
    <row r="18" spans="1:15" ht="13.5" customHeight="1">
      <c r="A18" s="120"/>
      <c r="B18" s="188"/>
      <c r="C18" s="191"/>
      <c r="D18" s="191"/>
      <c r="E18" s="194"/>
      <c r="F18" s="118" t="s">
        <v>44</v>
      </c>
      <c r="G18" s="118" t="s">
        <v>45</v>
      </c>
      <c r="H18" s="120">
        <v>15</v>
      </c>
      <c r="I18" s="20">
        <v>585000</v>
      </c>
      <c r="J18" s="20">
        <f>I18*H18</f>
        <v>8775000</v>
      </c>
      <c r="K18" s="48"/>
      <c r="L18" s="48"/>
      <c r="M18" s="48"/>
      <c r="N18" s="48"/>
    </row>
    <row r="19" spans="1:15" ht="13.5" customHeight="1">
      <c r="A19" s="120"/>
      <c r="B19" s="188"/>
      <c r="C19" s="191"/>
      <c r="D19" s="191"/>
      <c r="E19" s="194"/>
      <c r="F19" s="190" t="s">
        <v>46</v>
      </c>
      <c r="G19" s="118" t="s">
        <v>47</v>
      </c>
      <c r="H19" s="120">
        <v>4</v>
      </c>
      <c r="I19" s="20">
        <v>845000</v>
      </c>
      <c r="J19" s="20">
        <f>I19*H19</f>
        <v>3380000</v>
      </c>
      <c r="K19" s="48"/>
      <c r="L19" s="48"/>
      <c r="M19" s="48"/>
      <c r="N19" s="48"/>
    </row>
    <row r="20" spans="1:15" ht="13.5" customHeight="1">
      <c r="A20" s="120"/>
      <c r="B20" s="188"/>
      <c r="C20" s="192"/>
      <c r="D20" s="192"/>
      <c r="E20" s="195"/>
      <c r="F20" s="192"/>
      <c r="G20" s="118" t="s">
        <v>48</v>
      </c>
      <c r="H20" s="120">
        <v>5</v>
      </c>
      <c r="I20" s="20">
        <v>1040000</v>
      </c>
      <c r="J20" s="20">
        <f>I20*H20</f>
        <v>5200000</v>
      </c>
      <c r="K20" s="48"/>
      <c r="L20" s="48"/>
      <c r="M20" s="48"/>
      <c r="N20" s="48"/>
    </row>
    <row r="21" spans="1:15" ht="13.5" customHeight="1">
      <c r="A21" s="120"/>
      <c r="B21" s="188"/>
      <c r="C21" s="118" t="s">
        <v>50</v>
      </c>
      <c r="D21" s="118" t="s">
        <v>51</v>
      </c>
      <c r="E21" s="130">
        <v>44172</v>
      </c>
      <c r="F21" s="118" t="s">
        <v>49</v>
      </c>
      <c r="G21" s="118" t="s">
        <v>52</v>
      </c>
      <c r="H21" s="120">
        <v>1</v>
      </c>
      <c r="I21" s="20">
        <f>261000000+900000</f>
        <v>261900000</v>
      </c>
      <c r="J21" s="20">
        <f>I21</f>
        <v>261900000</v>
      </c>
      <c r="K21" s="48"/>
      <c r="L21" s="48"/>
      <c r="M21" s="48"/>
      <c r="N21" s="48"/>
    </row>
    <row r="22" spans="1:15" ht="13.5" customHeight="1">
      <c r="A22" s="120"/>
      <c r="B22" s="188"/>
      <c r="C22" s="118" t="s">
        <v>56</v>
      </c>
      <c r="D22" s="131" t="s">
        <v>53</v>
      </c>
      <c r="E22" s="130">
        <v>44155</v>
      </c>
      <c r="F22" s="118" t="s">
        <v>54</v>
      </c>
      <c r="G22" s="118" t="s">
        <v>55</v>
      </c>
      <c r="H22" s="120">
        <v>1</v>
      </c>
      <c r="I22" s="20">
        <v>10000000</v>
      </c>
      <c r="J22" s="20">
        <f>I22</f>
        <v>10000000</v>
      </c>
      <c r="K22" s="48"/>
      <c r="L22" s="48"/>
      <c r="M22" s="48"/>
      <c r="N22" s="48"/>
    </row>
    <row r="23" spans="1:15" ht="13.5" customHeight="1">
      <c r="A23" s="132"/>
      <c r="B23" s="189"/>
      <c r="C23" s="133" t="s">
        <v>56</v>
      </c>
      <c r="D23" s="133" t="s">
        <v>57</v>
      </c>
      <c r="E23" s="134">
        <v>43994</v>
      </c>
      <c r="F23" s="133" t="s">
        <v>20</v>
      </c>
      <c r="G23" s="133" t="s">
        <v>58</v>
      </c>
      <c r="H23" s="132">
        <v>1</v>
      </c>
      <c r="I23" s="54">
        <f>88682000+900000</f>
        <v>89582000</v>
      </c>
      <c r="J23" s="54">
        <f>I23</f>
        <v>89582000</v>
      </c>
      <c r="K23" s="48"/>
      <c r="L23" s="48"/>
      <c r="M23" s="48"/>
      <c r="N23" s="48"/>
    </row>
    <row r="24" spans="1:15" s="40" customFormat="1" ht="13.5" customHeight="1">
      <c r="A24" s="135"/>
      <c r="B24" s="135"/>
      <c r="C24" s="136"/>
      <c r="D24" s="136"/>
      <c r="E24" s="137"/>
      <c r="F24" s="136"/>
      <c r="G24" s="136"/>
      <c r="H24" s="135"/>
      <c r="I24" s="138"/>
      <c r="J24" s="138">
        <f>SUM(J8:J23)</f>
        <v>467125000</v>
      </c>
      <c r="K24" s="48"/>
      <c r="L24" s="48"/>
      <c r="M24" s="48"/>
      <c r="N24" s="48"/>
      <c r="O24" s="178"/>
    </row>
    <row r="25" spans="1:15" ht="13.5" customHeight="1">
      <c r="A25" s="139"/>
      <c r="B25" s="187" t="s">
        <v>59</v>
      </c>
      <c r="C25" s="199" t="s">
        <v>60</v>
      </c>
      <c r="D25" s="199" t="s">
        <v>61</v>
      </c>
      <c r="E25" s="200">
        <v>44176</v>
      </c>
      <c r="F25" s="140" t="s">
        <v>62</v>
      </c>
      <c r="G25" s="140" t="s">
        <v>63</v>
      </c>
      <c r="H25" s="139">
        <v>1</v>
      </c>
      <c r="I25" s="19">
        <v>300000</v>
      </c>
      <c r="J25" s="19">
        <f t="shared" ref="J25:J30" si="1">I25</f>
        <v>300000</v>
      </c>
      <c r="K25" s="48"/>
      <c r="L25" s="48"/>
      <c r="M25" s="48"/>
      <c r="N25" s="48"/>
    </row>
    <row r="26" spans="1:15" ht="13.5" customHeight="1">
      <c r="A26" s="120"/>
      <c r="B26" s="188"/>
      <c r="C26" s="191"/>
      <c r="D26" s="191"/>
      <c r="E26" s="194"/>
      <c r="F26" s="118" t="s">
        <v>64</v>
      </c>
      <c r="G26" s="118" t="s">
        <v>80</v>
      </c>
      <c r="H26" s="120">
        <v>1</v>
      </c>
      <c r="I26" s="20">
        <v>3500000</v>
      </c>
      <c r="J26" s="20">
        <f t="shared" si="1"/>
        <v>3500000</v>
      </c>
      <c r="K26" s="48"/>
      <c r="L26" s="48"/>
      <c r="M26" s="48"/>
      <c r="N26" s="48"/>
    </row>
    <row r="27" spans="1:15" ht="13.5" customHeight="1">
      <c r="A27" s="120"/>
      <c r="B27" s="188"/>
      <c r="C27" s="191"/>
      <c r="D27" s="191"/>
      <c r="E27" s="194"/>
      <c r="F27" s="118" t="s">
        <v>65</v>
      </c>
      <c r="G27" s="118" t="s">
        <v>66</v>
      </c>
      <c r="H27" s="120">
        <v>1</v>
      </c>
      <c r="I27" s="20">
        <v>700000</v>
      </c>
      <c r="J27" s="20">
        <f t="shared" si="1"/>
        <v>700000</v>
      </c>
      <c r="K27" s="48"/>
      <c r="L27" s="48"/>
      <c r="M27" s="48"/>
      <c r="N27" s="48"/>
    </row>
    <row r="28" spans="1:15" ht="13.5" customHeight="1">
      <c r="A28" s="120"/>
      <c r="B28" s="188"/>
      <c r="C28" s="191"/>
      <c r="D28" s="191"/>
      <c r="E28" s="194"/>
      <c r="F28" s="118" t="s">
        <v>67</v>
      </c>
      <c r="G28" s="118"/>
      <c r="H28" s="120">
        <v>1</v>
      </c>
      <c r="I28" s="20">
        <v>2500000</v>
      </c>
      <c r="J28" s="20">
        <f t="shared" si="1"/>
        <v>2500000</v>
      </c>
      <c r="K28" s="48"/>
      <c r="L28" s="48"/>
      <c r="M28" s="48"/>
      <c r="N28" s="48"/>
    </row>
    <row r="29" spans="1:15" ht="13.5" customHeight="1">
      <c r="A29" s="120"/>
      <c r="B29" s="188"/>
      <c r="C29" s="191"/>
      <c r="D29" s="191"/>
      <c r="E29" s="194"/>
      <c r="F29" s="118" t="s">
        <v>68</v>
      </c>
      <c r="G29" s="118" t="s">
        <v>69</v>
      </c>
      <c r="H29" s="120">
        <v>1</v>
      </c>
      <c r="I29" s="20">
        <v>2500000</v>
      </c>
      <c r="J29" s="20">
        <f t="shared" si="1"/>
        <v>2500000</v>
      </c>
      <c r="K29" s="48"/>
      <c r="L29" s="48"/>
      <c r="M29" s="48"/>
      <c r="N29" s="48"/>
    </row>
    <row r="30" spans="1:15" ht="13.5" customHeight="1">
      <c r="A30" s="120"/>
      <c r="B30" s="188"/>
      <c r="C30" s="192"/>
      <c r="D30" s="192"/>
      <c r="E30" s="195"/>
      <c r="F30" s="118" t="s">
        <v>54</v>
      </c>
      <c r="G30" s="118" t="s">
        <v>70</v>
      </c>
      <c r="H30" s="120">
        <v>1</v>
      </c>
      <c r="I30" s="20">
        <v>8000000</v>
      </c>
      <c r="J30" s="20">
        <f t="shared" si="1"/>
        <v>8000000</v>
      </c>
      <c r="K30" s="48"/>
      <c r="L30" s="48"/>
      <c r="M30" s="48"/>
      <c r="N30" s="48"/>
    </row>
    <row r="31" spans="1:15" ht="13.5" customHeight="1">
      <c r="A31" s="120"/>
      <c r="B31" s="188"/>
      <c r="C31" s="190" t="s">
        <v>71</v>
      </c>
      <c r="D31" s="190" t="s">
        <v>72</v>
      </c>
      <c r="E31" s="193">
        <v>44140</v>
      </c>
      <c r="F31" s="118" t="s">
        <v>73</v>
      </c>
      <c r="G31" s="118" t="s">
        <v>74</v>
      </c>
      <c r="H31" s="120">
        <v>2</v>
      </c>
      <c r="I31" s="20">
        <f>8880000+450000</f>
        <v>9330000</v>
      </c>
      <c r="J31" s="20">
        <f t="shared" ref="J31:J37" si="2">I31*H31</f>
        <v>18660000</v>
      </c>
      <c r="K31" s="48"/>
      <c r="L31" s="48"/>
      <c r="M31" s="48"/>
      <c r="N31" s="48"/>
    </row>
    <row r="32" spans="1:15" ht="13.5" customHeight="1">
      <c r="A32" s="120"/>
      <c r="B32" s="188"/>
      <c r="C32" s="191"/>
      <c r="D32" s="191"/>
      <c r="E32" s="194"/>
      <c r="F32" s="118" t="s">
        <v>33</v>
      </c>
      <c r="G32" s="118" t="s">
        <v>75</v>
      </c>
      <c r="H32" s="120">
        <v>1</v>
      </c>
      <c r="I32" s="20">
        <v>8690000</v>
      </c>
      <c r="J32" s="20">
        <f t="shared" si="2"/>
        <v>8690000</v>
      </c>
      <c r="K32" s="48"/>
      <c r="L32" s="48"/>
      <c r="M32" s="48"/>
      <c r="N32" s="48"/>
    </row>
    <row r="33" spans="1:14" ht="13.5" customHeight="1">
      <c r="A33" s="120"/>
      <c r="B33" s="188"/>
      <c r="C33" s="191"/>
      <c r="D33" s="191"/>
      <c r="E33" s="194"/>
      <c r="F33" s="118" t="s">
        <v>35</v>
      </c>
      <c r="G33" s="118" t="s">
        <v>76</v>
      </c>
      <c r="H33" s="120">
        <v>1</v>
      </c>
      <c r="I33" s="20">
        <v>9320000</v>
      </c>
      <c r="J33" s="20">
        <f t="shared" si="2"/>
        <v>9320000</v>
      </c>
      <c r="K33" s="48"/>
      <c r="L33" s="48"/>
      <c r="M33" s="48"/>
      <c r="N33" s="48"/>
    </row>
    <row r="34" spans="1:14" ht="13.5" customHeight="1">
      <c r="A34" s="120"/>
      <c r="B34" s="188"/>
      <c r="C34" s="192"/>
      <c r="D34" s="192"/>
      <c r="E34" s="195"/>
      <c r="F34" s="118" t="s">
        <v>37</v>
      </c>
      <c r="G34" s="118" t="s">
        <v>77</v>
      </c>
      <c r="H34" s="120">
        <v>2</v>
      </c>
      <c r="I34" s="20">
        <v>2720000</v>
      </c>
      <c r="J34" s="20">
        <f t="shared" si="2"/>
        <v>5440000</v>
      </c>
      <c r="K34" s="48"/>
      <c r="L34" s="48"/>
      <c r="M34" s="48"/>
      <c r="N34" s="48"/>
    </row>
    <row r="35" spans="1:14" ht="13.5" customHeight="1">
      <c r="A35" s="120"/>
      <c r="B35" s="188"/>
      <c r="C35" s="190" t="s">
        <v>78</v>
      </c>
      <c r="D35" s="190" t="s">
        <v>79</v>
      </c>
      <c r="E35" s="193">
        <v>43993</v>
      </c>
      <c r="F35" s="118" t="s">
        <v>42</v>
      </c>
      <c r="G35" s="118" t="s">
        <v>81</v>
      </c>
      <c r="H35" s="120">
        <v>2</v>
      </c>
      <c r="I35" s="20">
        <f>(4840000/2)</f>
        <v>2420000</v>
      </c>
      <c r="J35" s="20">
        <f t="shared" si="2"/>
        <v>4840000</v>
      </c>
      <c r="K35" s="48"/>
      <c r="L35" s="48"/>
      <c r="M35" s="48"/>
      <c r="N35" s="48"/>
    </row>
    <row r="36" spans="1:14" ht="13.5" customHeight="1">
      <c r="A36" s="120"/>
      <c r="B36" s="188"/>
      <c r="C36" s="191"/>
      <c r="D36" s="191"/>
      <c r="E36" s="194"/>
      <c r="F36" s="118" t="s">
        <v>46</v>
      </c>
      <c r="G36" s="118" t="s">
        <v>92</v>
      </c>
      <c r="H36" s="120">
        <v>2</v>
      </c>
      <c r="I36" s="20">
        <f>3960000/2</f>
        <v>1980000</v>
      </c>
      <c r="J36" s="20">
        <f t="shared" si="2"/>
        <v>3960000</v>
      </c>
      <c r="K36" s="48"/>
      <c r="L36" s="48"/>
      <c r="M36" s="48"/>
      <c r="N36" s="48"/>
    </row>
    <row r="37" spans="1:14" ht="13.5" customHeight="1">
      <c r="A37" s="120"/>
      <c r="B37" s="188"/>
      <c r="C37" s="191"/>
      <c r="D37" s="191"/>
      <c r="E37" s="194"/>
      <c r="F37" s="118" t="s">
        <v>44</v>
      </c>
      <c r="G37" s="118" t="s">
        <v>82</v>
      </c>
      <c r="H37" s="120">
        <v>50</v>
      </c>
      <c r="I37" s="20">
        <f>4950000/50</f>
        <v>99000</v>
      </c>
      <c r="J37" s="20">
        <f t="shared" si="2"/>
        <v>4950000</v>
      </c>
      <c r="K37" s="48"/>
      <c r="L37" s="48"/>
      <c r="M37" s="48"/>
      <c r="N37" s="48"/>
    </row>
    <row r="38" spans="1:14" ht="13.5" customHeight="1">
      <c r="A38" s="120"/>
      <c r="B38" s="188"/>
      <c r="C38" s="191"/>
      <c r="D38" s="191"/>
      <c r="E38" s="194"/>
      <c r="F38" s="118" t="s">
        <v>83</v>
      </c>
      <c r="G38" s="118" t="s">
        <v>84</v>
      </c>
      <c r="H38" s="120">
        <v>1</v>
      </c>
      <c r="I38" s="20">
        <v>5200000</v>
      </c>
      <c r="J38" s="20">
        <f>I38</f>
        <v>5200000</v>
      </c>
      <c r="K38" s="48"/>
      <c r="L38" s="48"/>
      <c r="M38" s="48"/>
      <c r="N38" s="48"/>
    </row>
    <row r="39" spans="1:14" ht="13.5" customHeight="1">
      <c r="A39" s="120"/>
      <c r="B39" s="188"/>
      <c r="C39" s="191"/>
      <c r="D39" s="191"/>
      <c r="E39" s="194"/>
      <c r="F39" s="118" t="s">
        <v>85</v>
      </c>
      <c r="G39" s="118" t="s">
        <v>86</v>
      </c>
      <c r="H39" s="120">
        <v>1</v>
      </c>
      <c r="I39" s="20">
        <v>3985000</v>
      </c>
      <c r="J39" s="20">
        <f>I39</f>
        <v>3985000</v>
      </c>
      <c r="K39" s="48"/>
      <c r="L39" s="48"/>
      <c r="M39" s="48"/>
      <c r="N39" s="48"/>
    </row>
    <row r="40" spans="1:14" ht="13.5" customHeight="1">
      <c r="A40" s="120"/>
      <c r="B40" s="188"/>
      <c r="C40" s="191"/>
      <c r="D40" s="191"/>
      <c r="E40" s="194"/>
      <c r="F40" s="190" t="s">
        <v>87</v>
      </c>
      <c r="G40" s="118" t="s">
        <v>88</v>
      </c>
      <c r="H40" s="120">
        <v>1</v>
      </c>
      <c r="I40" s="20">
        <f>3900000+300000</f>
        <v>4200000</v>
      </c>
      <c r="J40" s="20">
        <f t="shared" ref="J40:J49" si="3">I40</f>
        <v>4200000</v>
      </c>
      <c r="K40" s="48"/>
      <c r="L40" s="48"/>
      <c r="M40" s="48"/>
      <c r="N40" s="48"/>
    </row>
    <row r="41" spans="1:14" ht="13.5" customHeight="1">
      <c r="A41" s="120"/>
      <c r="B41" s="188"/>
      <c r="C41" s="191"/>
      <c r="D41" s="191"/>
      <c r="E41" s="194"/>
      <c r="F41" s="192"/>
      <c r="G41" s="118" t="s">
        <v>89</v>
      </c>
      <c r="H41" s="120">
        <v>1</v>
      </c>
      <c r="I41" s="20">
        <f>4340000+250000</f>
        <v>4590000</v>
      </c>
      <c r="J41" s="20">
        <f t="shared" si="3"/>
        <v>4590000</v>
      </c>
      <c r="K41" s="48"/>
      <c r="L41" s="48"/>
      <c r="M41" s="48"/>
      <c r="N41" s="48"/>
    </row>
    <row r="42" spans="1:14" ht="13.5" customHeight="1">
      <c r="A42" s="120"/>
      <c r="B42" s="188"/>
      <c r="C42" s="192"/>
      <c r="D42" s="192"/>
      <c r="E42" s="195"/>
      <c r="F42" s="118" t="s">
        <v>90</v>
      </c>
      <c r="G42" s="118" t="s">
        <v>91</v>
      </c>
      <c r="H42" s="120">
        <v>1</v>
      </c>
      <c r="I42" s="20">
        <f>3200000+300000</f>
        <v>3500000</v>
      </c>
      <c r="J42" s="20">
        <f t="shared" si="3"/>
        <v>3500000</v>
      </c>
      <c r="K42" s="48"/>
      <c r="L42" s="48"/>
      <c r="M42" s="48"/>
      <c r="N42" s="48"/>
    </row>
    <row r="43" spans="1:14" ht="13.5" customHeight="1">
      <c r="A43" s="120"/>
      <c r="B43" s="188"/>
      <c r="C43" s="190" t="s">
        <v>78</v>
      </c>
      <c r="D43" s="190" t="s">
        <v>93</v>
      </c>
      <c r="E43" s="197">
        <v>44328</v>
      </c>
      <c r="F43" s="118" t="s">
        <v>94</v>
      </c>
      <c r="G43" s="118" t="s">
        <v>95</v>
      </c>
      <c r="H43" s="120">
        <v>1</v>
      </c>
      <c r="I43" s="20">
        <v>3883000</v>
      </c>
      <c r="J43" s="20">
        <f t="shared" si="3"/>
        <v>3883000</v>
      </c>
      <c r="K43" s="48"/>
      <c r="L43" s="48"/>
      <c r="M43" s="48"/>
      <c r="N43" s="48"/>
    </row>
    <row r="44" spans="1:14" ht="13.5" customHeight="1">
      <c r="A44" s="120"/>
      <c r="B44" s="188"/>
      <c r="C44" s="192"/>
      <c r="D44" s="192"/>
      <c r="E44" s="198"/>
      <c r="F44" s="118" t="s">
        <v>96</v>
      </c>
      <c r="G44" s="118" t="s">
        <v>97</v>
      </c>
      <c r="H44" s="120">
        <v>1</v>
      </c>
      <c r="I44" s="20">
        <v>6889850</v>
      </c>
      <c r="J44" s="20">
        <f t="shared" si="3"/>
        <v>6889850</v>
      </c>
      <c r="K44" s="48"/>
      <c r="L44" s="48"/>
      <c r="M44" s="48"/>
      <c r="N44" s="48"/>
    </row>
    <row r="45" spans="1:14" ht="13.5" customHeight="1">
      <c r="A45" s="120"/>
      <c r="B45" s="188"/>
      <c r="C45" s="118" t="s">
        <v>103</v>
      </c>
      <c r="D45" s="131"/>
      <c r="E45" s="141">
        <v>44136</v>
      </c>
      <c r="F45" s="118" t="s">
        <v>98</v>
      </c>
      <c r="G45" s="118"/>
      <c r="H45" s="120">
        <v>1</v>
      </c>
      <c r="I45" s="20">
        <v>5000000</v>
      </c>
      <c r="J45" s="20">
        <f t="shared" si="3"/>
        <v>5000000</v>
      </c>
      <c r="K45" s="48"/>
      <c r="L45" s="48"/>
      <c r="M45" s="48"/>
      <c r="N45" s="48"/>
    </row>
    <row r="46" spans="1:14" ht="13.5" customHeight="1">
      <c r="A46" s="120"/>
      <c r="B46" s="188"/>
      <c r="C46" s="118" t="s">
        <v>120</v>
      </c>
      <c r="D46" s="131" t="s">
        <v>122</v>
      </c>
      <c r="E46" s="118"/>
      <c r="F46" s="118" t="s">
        <v>20</v>
      </c>
      <c r="G46" s="118" t="s">
        <v>99</v>
      </c>
      <c r="H46" s="120">
        <v>1</v>
      </c>
      <c r="I46" s="142">
        <f>600000+33078150</f>
        <v>33678150</v>
      </c>
      <c r="J46" s="20">
        <f t="shared" si="3"/>
        <v>33678150</v>
      </c>
      <c r="K46" s="48"/>
      <c r="L46" s="48"/>
      <c r="M46" s="48"/>
      <c r="N46" s="48"/>
    </row>
    <row r="47" spans="1:14" ht="13.5" customHeight="1">
      <c r="A47" s="120"/>
      <c r="B47" s="188"/>
      <c r="C47" s="118" t="s">
        <v>102</v>
      </c>
      <c r="D47" s="118" t="s">
        <v>101</v>
      </c>
      <c r="E47" s="118"/>
      <c r="F47" s="118" t="s">
        <v>30</v>
      </c>
      <c r="G47" s="118" t="s">
        <v>100</v>
      </c>
      <c r="H47" s="120">
        <v>1</v>
      </c>
      <c r="I47" s="20">
        <f>600000+3982000</f>
        <v>4582000</v>
      </c>
      <c r="J47" s="20">
        <f t="shared" si="3"/>
        <v>4582000</v>
      </c>
      <c r="K47" s="48"/>
      <c r="L47" s="48"/>
      <c r="M47" s="48"/>
      <c r="N47" s="48"/>
    </row>
    <row r="48" spans="1:14" ht="13.5" customHeight="1">
      <c r="A48" s="120"/>
      <c r="B48" s="188"/>
      <c r="C48" s="118" t="s">
        <v>104</v>
      </c>
      <c r="D48" s="131"/>
      <c r="E48" s="118"/>
      <c r="F48" s="118" t="s">
        <v>105</v>
      </c>
      <c r="G48" s="118" t="s">
        <v>106</v>
      </c>
      <c r="H48" s="120">
        <v>1</v>
      </c>
      <c r="I48" s="20">
        <v>3500000</v>
      </c>
      <c r="J48" s="20">
        <f t="shared" si="3"/>
        <v>3500000</v>
      </c>
      <c r="K48" s="48"/>
      <c r="L48" s="48"/>
      <c r="M48" s="48"/>
      <c r="N48" s="48"/>
    </row>
    <row r="49" spans="1:15" ht="13.5" customHeight="1">
      <c r="A49" s="120"/>
      <c r="B49" s="188"/>
      <c r="C49" s="118" t="s">
        <v>109</v>
      </c>
      <c r="D49" s="131"/>
      <c r="E49" s="118"/>
      <c r="F49" s="118" t="s">
        <v>107</v>
      </c>
      <c r="G49" s="118"/>
      <c r="H49" s="120">
        <v>1</v>
      </c>
      <c r="I49" s="20">
        <v>995000</v>
      </c>
      <c r="J49" s="20">
        <f t="shared" si="3"/>
        <v>995000</v>
      </c>
      <c r="K49" s="48"/>
      <c r="L49" s="48"/>
      <c r="M49" s="48"/>
      <c r="N49" s="48"/>
    </row>
    <row r="50" spans="1:15" ht="13.5" customHeight="1">
      <c r="A50" s="120"/>
      <c r="B50" s="188"/>
      <c r="C50" s="118" t="s">
        <v>110</v>
      </c>
      <c r="D50" s="131"/>
      <c r="E50" s="118"/>
      <c r="F50" s="118" t="s">
        <v>108</v>
      </c>
      <c r="G50" s="118"/>
      <c r="H50" s="120">
        <v>2</v>
      </c>
      <c r="I50" s="20">
        <v>600000</v>
      </c>
      <c r="J50" s="20">
        <f>I50*H50</f>
        <v>1200000</v>
      </c>
      <c r="K50" s="48"/>
      <c r="L50" s="48"/>
      <c r="M50" s="48"/>
      <c r="N50" s="48"/>
    </row>
    <row r="51" spans="1:15" ht="13.5" customHeight="1">
      <c r="A51" s="120"/>
      <c r="B51" s="188"/>
      <c r="C51" s="118"/>
      <c r="D51" s="131"/>
      <c r="E51" s="118"/>
      <c r="F51" s="118" t="s">
        <v>111</v>
      </c>
      <c r="G51" s="118"/>
      <c r="H51" s="120">
        <v>1</v>
      </c>
      <c r="I51" s="20">
        <v>10000000</v>
      </c>
      <c r="J51" s="20">
        <f>I51*H51</f>
        <v>10000000</v>
      </c>
      <c r="K51" s="48"/>
      <c r="L51" s="48"/>
      <c r="M51" s="48"/>
      <c r="N51" s="48"/>
    </row>
    <row r="52" spans="1:15" ht="13.5" customHeight="1">
      <c r="A52" s="132"/>
      <c r="B52" s="188"/>
      <c r="C52" s="133" t="s">
        <v>120</v>
      </c>
      <c r="D52" s="143" t="s">
        <v>121</v>
      </c>
      <c r="E52" s="133"/>
      <c r="F52" s="133" t="s">
        <v>113</v>
      </c>
      <c r="G52" s="133" t="s">
        <v>114</v>
      </c>
      <c r="H52" s="132">
        <v>1</v>
      </c>
      <c r="I52" s="54">
        <f>131373208+4300000</f>
        <v>135673208</v>
      </c>
      <c r="J52" s="54">
        <f>I52</f>
        <v>135673208</v>
      </c>
      <c r="K52" s="48"/>
      <c r="L52" s="48"/>
      <c r="M52" s="48"/>
      <c r="N52" s="48"/>
    </row>
    <row r="53" spans="1:15" ht="13.5" customHeight="1">
      <c r="A53" s="132"/>
      <c r="B53" s="189"/>
      <c r="C53" s="133" t="s">
        <v>120</v>
      </c>
      <c r="D53" s="133" t="s">
        <v>119</v>
      </c>
      <c r="E53" s="133"/>
      <c r="F53" s="133" t="s">
        <v>117</v>
      </c>
      <c r="G53" s="133" t="s">
        <v>118</v>
      </c>
      <c r="H53" s="132">
        <v>1</v>
      </c>
      <c r="I53" s="54">
        <f>162751657+3700000</f>
        <v>166451657</v>
      </c>
      <c r="J53" s="54">
        <f>I53</f>
        <v>166451657</v>
      </c>
      <c r="K53" s="48"/>
      <c r="L53" s="48"/>
      <c r="M53" s="48"/>
      <c r="N53" s="48"/>
    </row>
    <row r="54" spans="1:15" s="40" customFormat="1" ht="13.5" customHeight="1">
      <c r="A54" s="135"/>
      <c r="B54" s="135"/>
      <c r="C54" s="136"/>
      <c r="D54" s="144"/>
      <c r="E54" s="136"/>
      <c r="F54" s="136"/>
      <c r="G54" s="136"/>
      <c r="H54" s="135"/>
      <c r="I54" s="138"/>
      <c r="J54" s="138">
        <f>SUM(J25:J53)</f>
        <v>466687865</v>
      </c>
      <c r="K54" s="48"/>
      <c r="L54" s="48"/>
      <c r="M54" s="48"/>
      <c r="N54" s="48"/>
      <c r="O54" s="178"/>
    </row>
    <row r="55" spans="1:15" s="48" customFormat="1" ht="13.5" customHeight="1">
      <c r="A55" s="125"/>
      <c r="B55" s="187" t="s">
        <v>123</v>
      </c>
      <c r="C55" s="201" t="s">
        <v>60</v>
      </c>
      <c r="D55" s="203" t="s">
        <v>169</v>
      </c>
      <c r="E55" s="205">
        <v>44541</v>
      </c>
      <c r="F55" s="199" t="s">
        <v>170</v>
      </c>
      <c r="G55" s="126" t="s">
        <v>171</v>
      </c>
      <c r="H55" s="125">
        <v>1</v>
      </c>
      <c r="I55" s="47">
        <v>7000000</v>
      </c>
      <c r="J55" s="47">
        <f t="shared" ref="J55:J63" si="4">I55*H55</f>
        <v>7000000</v>
      </c>
    </row>
    <row r="56" spans="1:15" s="48" customFormat="1" ht="13.5" customHeight="1">
      <c r="A56" s="120"/>
      <c r="B56" s="188"/>
      <c r="C56" s="202"/>
      <c r="D56" s="204"/>
      <c r="E56" s="198"/>
      <c r="F56" s="192"/>
      <c r="G56" s="118" t="s">
        <v>197</v>
      </c>
      <c r="H56" s="120">
        <v>1</v>
      </c>
      <c r="I56" s="20">
        <f>18325000+600000</f>
        <v>18925000</v>
      </c>
      <c r="J56" s="20">
        <f t="shared" si="4"/>
        <v>18925000</v>
      </c>
    </row>
    <row r="57" spans="1:15" s="48" customFormat="1" ht="13.5" customHeight="1">
      <c r="A57" s="120"/>
      <c r="B57" s="188"/>
      <c r="C57" s="206" t="s">
        <v>173</v>
      </c>
      <c r="D57" s="208" t="s">
        <v>174</v>
      </c>
      <c r="E57" s="197">
        <v>44505</v>
      </c>
      <c r="F57" s="118" t="s">
        <v>73</v>
      </c>
      <c r="G57" s="118" t="s">
        <v>175</v>
      </c>
      <c r="H57" s="120">
        <v>2</v>
      </c>
      <c r="I57" s="20">
        <f>9330000+125000</f>
        <v>9455000</v>
      </c>
      <c r="J57" s="20">
        <f t="shared" si="4"/>
        <v>18910000</v>
      </c>
    </row>
    <row r="58" spans="1:15" s="48" customFormat="1" ht="13.5" customHeight="1">
      <c r="A58" s="120"/>
      <c r="B58" s="188"/>
      <c r="C58" s="207"/>
      <c r="D58" s="209"/>
      <c r="E58" s="210"/>
      <c r="F58" s="118" t="s">
        <v>33</v>
      </c>
      <c r="G58" s="118" t="s">
        <v>176</v>
      </c>
      <c r="H58" s="120">
        <v>2</v>
      </c>
      <c r="I58" s="20">
        <v>9330000</v>
      </c>
      <c r="J58" s="20">
        <f t="shared" si="4"/>
        <v>18660000</v>
      </c>
    </row>
    <row r="59" spans="1:15" s="48" customFormat="1" ht="13.5" customHeight="1">
      <c r="A59" s="120"/>
      <c r="B59" s="188"/>
      <c r="C59" s="202"/>
      <c r="D59" s="204"/>
      <c r="E59" s="198"/>
      <c r="F59" s="118" t="s">
        <v>37</v>
      </c>
      <c r="G59" s="118" t="s">
        <v>77</v>
      </c>
      <c r="H59" s="120">
        <v>2</v>
      </c>
      <c r="I59" s="20">
        <v>2750000</v>
      </c>
      <c r="J59" s="20">
        <f t="shared" si="4"/>
        <v>5500000</v>
      </c>
    </row>
    <row r="60" spans="1:15" s="48" customFormat="1" ht="13.5" customHeight="1">
      <c r="A60" s="120"/>
      <c r="B60" s="188"/>
      <c r="C60" s="206" t="s">
        <v>60</v>
      </c>
      <c r="D60" s="208" t="s">
        <v>177</v>
      </c>
      <c r="E60" s="197">
        <v>44485</v>
      </c>
      <c r="F60" s="118" t="s">
        <v>128</v>
      </c>
      <c r="G60" s="118" t="s">
        <v>178</v>
      </c>
      <c r="H60" s="120">
        <v>1</v>
      </c>
      <c r="I60" s="20">
        <v>1250000</v>
      </c>
      <c r="J60" s="20">
        <f t="shared" si="4"/>
        <v>1250000</v>
      </c>
    </row>
    <row r="61" spans="1:15" s="48" customFormat="1" ht="13.5" customHeight="1">
      <c r="A61" s="120"/>
      <c r="B61" s="188"/>
      <c r="C61" s="207"/>
      <c r="D61" s="209"/>
      <c r="E61" s="210"/>
      <c r="F61" s="118" t="s">
        <v>65</v>
      </c>
      <c r="G61" s="118" t="s">
        <v>179</v>
      </c>
      <c r="H61" s="120">
        <v>1</v>
      </c>
      <c r="I61" s="20">
        <v>700000</v>
      </c>
      <c r="J61" s="20">
        <f t="shared" si="4"/>
        <v>700000</v>
      </c>
    </row>
    <row r="62" spans="1:15" s="48" customFormat="1" ht="13.5" customHeight="1">
      <c r="A62" s="120"/>
      <c r="B62" s="188"/>
      <c r="C62" s="207"/>
      <c r="D62" s="209"/>
      <c r="E62" s="210"/>
      <c r="F62" s="118" t="s">
        <v>130</v>
      </c>
      <c r="G62" s="145" t="s">
        <v>180</v>
      </c>
      <c r="H62" s="120">
        <v>1</v>
      </c>
      <c r="I62" s="20">
        <v>1000000</v>
      </c>
      <c r="J62" s="20">
        <f t="shared" si="4"/>
        <v>1000000</v>
      </c>
    </row>
    <row r="63" spans="1:15" s="48" customFormat="1" ht="13.5" customHeight="1">
      <c r="A63" s="120"/>
      <c r="B63" s="188"/>
      <c r="C63" s="207"/>
      <c r="D63" s="209"/>
      <c r="E63" s="210"/>
      <c r="F63" s="118" t="s">
        <v>132</v>
      </c>
      <c r="G63" s="118" t="s">
        <v>181</v>
      </c>
      <c r="H63" s="120">
        <v>2</v>
      </c>
      <c r="I63" s="20">
        <v>700000</v>
      </c>
      <c r="J63" s="20">
        <f t="shared" si="4"/>
        <v>1400000</v>
      </c>
    </row>
    <row r="64" spans="1:15" s="48" customFormat="1" ht="13.5" customHeight="1">
      <c r="A64" s="120"/>
      <c r="B64" s="188"/>
      <c r="C64" s="202"/>
      <c r="D64" s="204"/>
      <c r="E64" s="198"/>
      <c r="F64" s="118" t="s">
        <v>54</v>
      </c>
      <c r="G64" s="118" t="s">
        <v>70</v>
      </c>
      <c r="H64" s="120">
        <v>1</v>
      </c>
      <c r="I64" s="20">
        <v>8000000</v>
      </c>
      <c r="J64" s="20">
        <f>I64</f>
        <v>8000000</v>
      </c>
    </row>
    <row r="65" spans="1:10" s="48" customFormat="1" ht="13.5" customHeight="1">
      <c r="A65" s="120"/>
      <c r="B65" s="188"/>
      <c r="C65" s="146" t="s">
        <v>60</v>
      </c>
      <c r="D65" s="147" t="s">
        <v>182</v>
      </c>
      <c r="E65" s="148">
        <v>44478</v>
      </c>
      <c r="F65" s="118" t="s">
        <v>159</v>
      </c>
      <c r="G65" s="118" t="s">
        <v>183</v>
      </c>
      <c r="H65" s="120">
        <v>1</v>
      </c>
      <c r="I65" s="20">
        <v>7300000</v>
      </c>
      <c r="J65" s="20">
        <f>I65</f>
        <v>7300000</v>
      </c>
    </row>
    <row r="66" spans="1:10" s="48" customFormat="1" ht="13.5" customHeight="1">
      <c r="A66" s="120"/>
      <c r="B66" s="188"/>
      <c r="C66" s="206" t="s">
        <v>184</v>
      </c>
      <c r="D66" s="208" t="s">
        <v>185</v>
      </c>
      <c r="E66" s="197">
        <v>44371</v>
      </c>
      <c r="F66" s="118" t="s">
        <v>186</v>
      </c>
      <c r="G66" s="118" t="s">
        <v>189</v>
      </c>
      <c r="H66" s="120">
        <v>1</v>
      </c>
      <c r="I66" s="20">
        <v>3200000</v>
      </c>
      <c r="J66" s="20">
        <f>I66</f>
        <v>3200000</v>
      </c>
    </row>
    <row r="67" spans="1:10" s="48" customFormat="1" ht="13.5" customHeight="1">
      <c r="A67" s="120"/>
      <c r="B67" s="188"/>
      <c r="C67" s="202"/>
      <c r="D67" s="204"/>
      <c r="E67" s="198"/>
      <c r="F67" s="118" t="s">
        <v>187</v>
      </c>
      <c r="G67" s="118" t="s">
        <v>188</v>
      </c>
      <c r="H67" s="120">
        <v>1</v>
      </c>
      <c r="I67" s="20">
        <v>7575000</v>
      </c>
      <c r="J67" s="20">
        <f>I67</f>
        <v>7575000</v>
      </c>
    </row>
    <row r="68" spans="1:10" s="48" customFormat="1" ht="13.5" customHeight="1">
      <c r="A68" s="120"/>
      <c r="B68" s="188"/>
      <c r="C68" s="149" t="s">
        <v>184</v>
      </c>
      <c r="D68" s="147" t="s">
        <v>190</v>
      </c>
      <c r="E68" s="148">
        <v>44371</v>
      </c>
      <c r="F68" s="118" t="s">
        <v>20</v>
      </c>
      <c r="G68" s="118" t="s">
        <v>191</v>
      </c>
      <c r="H68" s="120">
        <v>1</v>
      </c>
      <c r="I68" s="20">
        <f>23650000+600000</f>
        <v>24250000</v>
      </c>
      <c r="J68" s="20">
        <f>I68</f>
        <v>24250000</v>
      </c>
    </row>
    <row r="69" spans="1:10" s="48" customFormat="1" ht="13.5" customHeight="1">
      <c r="A69" s="120"/>
      <c r="B69" s="188"/>
      <c r="C69" s="118" t="s">
        <v>104</v>
      </c>
      <c r="D69" s="131"/>
      <c r="E69" s="118"/>
      <c r="F69" s="118" t="s">
        <v>105</v>
      </c>
      <c r="G69" s="118" t="s">
        <v>106</v>
      </c>
      <c r="H69" s="120">
        <v>1</v>
      </c>
      <c r="I69" s="20">
        <v>3500000</v>
      </c>
      <c r="J69" s="20">
        <f t="shared" ref="J69:J70" si="5">I69</f>
        <v>3500000</v>
      </c>
    </row>
    <row r="70" spans="1:10" s="48" customFormat="1" ht="13.5" customHeight="1">
      <c r="A70" s="120"/>
      <c r="B70" s="188"/>
      <c r="C70" s="118" t="s">
        <v>109</v>
      </c>
      <c r="D70" s="131"/>
      <c r="E70" s="118"/>
      <c r="F70" s="118" t="s">
        <v>107</v>
      </c>
      <c r="G70" s="118"/>
      <c r="H70" s="120">
        <v>1</v>
      </c>
      <c r="I70" s="20">
        <v>995000</v>
      </c>
      <c r="J70" s="20">
        <f t="shared" si="5"/>
        <v>995000</v>
      </c>
    </row>
    <row r="71" spans="1:10" s="48" customFormat="1" ht="13.5" customHeight="1">
      <c r="A71" s="120"/>
      <c r="B71" s="188"/>
      <c r="C71" s="118" t="s">
        <v>110</v>
      </c>
      <c r="D71" s="131"/>
      <c r="E71" s="118"/>
      <c r="F71" s="118" t="s">
        <v>108</v>
      </c>
      <c r="G71" s="118"/>
      <c r="H71" s="120">
        <v>2</v>
      </c>
      <c r="I71" s="20">
        <v>600000</v>
      </c>
      <c r="J71" s="20">
        <f t="shared" ref="J71:J90" si="6">I71*H71</f>
        <v>1200000</v>
      </c>
    </row>
    <row r="72" spans="1:10" s="48" customFormat="1" ht="13.5" customHeight="1">
      <c r="A72" s="120"/>
      <c r="B72" s="188"/>
      <c r="C72" s="118"/>
      <c r="D72" s="131"/>
      <c r="E72" s="118"/>
      <c r="F72" s="118" t="s">
        <v>111</v>
      </c>
      <c r="G72" s="118"/>
      <c r="H72" s="120">
        <v>1</v>
      </c>
      <c r="I72" s="20">
        <v>5000000</v>
      </c>
      <c r="J72" s="20">
        <f t="shared" si="6"/>
        <v>5000000</v>
      </c>
    </row>
    <row r="73" spans="1:10" s="48" customFormat="1" ht="13.5" customHeight="1">
      <c r="A73" s="120"/>
      <c r="B73" s="188"/>
      <c r="C73" s="206" t="s">
        <v>192</v>
      </c>
      <c r="D73" s="208" t="s">
        <v>194</v>
      </c>
      <c r="E73" s="197">
        <v>44358</v>
      </c>
      <c r="F73" s="118" t="s">
        <v>42</v>
      </c>
      <c r="G73" s="118" t="s">
        <v>193</v>
      </c>
      <c r="H73" s="120">
        <v>3</v>
      </c>
      <c r="I73" s="20">
        <f>7408500/3</f>
        <v>2469500</v>
      </c>
      <c r="J73" s="20">
        <f t="shared" si="6"/>
        <v>7408500</v>
      </c>
    </row>
    <row r="74" spans="1:10" s="48" customFormat="1" ht="13.5" customHeight="1">
      <c r="A74" s="120"/>
      <c r="B74" s="188"/>
      <c r="C74" s="207"/>
      <c r="D74" s="209"/>
      <c r="E74" s="210"/>
      <c r="F74" s="118" t="s">
        <v>151</v>
      </c>
      <c r="G74" s="118"/>
      <c r="H74" s="120">
        <v>1</v>
      </c>
      <c r="I74" s="20">
        <v>3960000</v>
      </c>
      <c r="J74" s="20">
        <f t="shared" si="6"/>
        <v>3960000</v>
      </c>
    </row>
    <row r="75" spans="1:10" s="48" customFormat="1" ht="13.5" customHeight="1">
      <c r="A75" s="120"/>
      <c r="B75" s="188"/>
      <c r="C75" s="207"/>
      <c r="D75" s="209"/>
      <c r="E75" s="210"/>
      <c r="F75" s="118" t="s">
        <v>46</v>
      </c>
      <c r="G75" s="118"/>
      <c r="H75" s="120">
        <v>3</v>
      </c>
      <c r="I75" s="20">
        <f>4422000/3</f>
        <v>1474000</v>
      </c>
      <c r="J75" s="20">
        <f t="shared" si="6"/>
        <v>4422000</v>
      </c>
    </row>
    <row r="76" spans="1:10" s="48" customFormat="1" ht="13.5" customHeight="1">
      <c r="A76" s="120"/>
      <c r="B76" s="188"/>
      <c r="C76" s="207"/>
      <c r="D76" s="209"/>
      <c r="E76" s="210"/>
      <c r="F76" s="118" t="s">
        <v>44</v>
      </c>
      <c r="G76" s="118"/>
      <c r="H76" s="120">
        <v>20</v>
      </c>
      <c r="I76" s="20">
        <f>5060000/20</f>
        <v>253000</v>
      </c>
      <c r="J76" s="20">
        <f t="shared" si="6"/>
        <v>5060000</v>
      </c>
    </row>
    <row r="77" spans="1:10" s="48" customFormat="1" ht="13.5" customHeight="1">
      <c r="A77" s="120"/>
      <c r="B77" s="188"/>
      <c r="C77" s="207"/>
      <c r="D77" s="209"/>
      <c r="E77" s="210"/>
      <c r="F77" s="118" t="s">
        <v>153</v>
      </c>
      <c r="G77" s="118" t="s">
        <v>195</v>
      </c>
      <c r="H77" s="120">
        <v>1</v>
      </c>
      <c r="I77" s="20">
        <v>5665000</v>
      </c>
      <c r="J77" s="20">
        <f t="shared" si="6"/>
        <v>5665000</v>
      </c>
    </row>
    <row r="78" spans="1:10" s="48" customFormat="1" ht="13.5" customHeight="1">
      <c r="A78" s="120"/>
      <c r="B78" s="188"/>
      <c r="C78" s="207"/>
      <c r="D78" s="209"/>
      <c r="E78" s="210"/>
      <c r="F78" s="190" t="s">
        <v>87</v>
      </c>
      <c r="G78" s="118" t="s">
        <v>88</v>
      </c>
      <c r="H78" s="120">
        <v>2</v>
      </c>
      <c r="I78" s="20">
        <f>2992000+425000</f>
        <v>3417000</v>
      </c>
      <c r="J78" s="20">
        <f t="shared" si="6"/>
        <v>6834000</v>
      </c>
    </row>
    <row r="79" spans="1:10" s="48" customFormat="1" ht="13.5" customHeight="1">
      <c r="A79" s="120"/>
      <c r="B79" s="188"/>
      <c r="C79" s="207"/>
      <c r="D79" s="209"/>
      <c r="E79" s="210"/>
      <c r="F79" s="192"/>
      <c r="G79" s="118" t="s">
        <v>89</v>
      </c>
      <c r="H79" s="120">
        <v>2</v>
      </c>
      <c r="I79" s="20">
        <v>3150000</v>
      </c>
      <c r="J79" s="20">
        <f t="shared" si="6"/>
        <v>6300000</v>
      </c>
    </row>
    <row r="80" spans="1:10" s="48" customFormat="1" ht="13.5" customHeight="1">
      <c r="A80" s="120"/>
      <c r="B80" s="188"/>
      <c r="C80" s="202"/>
      <c r="D80" s="204"/>
      <c r="E80" s="198"/>
      <c r="F80" s="118" t="s">
        <v>90</v>
      </c>
      <c r="G80" s="118" t="s">
        <v>91</v>
      </c>
      <c r="H80" s="120">
        <v>1</v>
      </c>
      <c r="I80" s="20">
        <v>2500000</v>
      </c>
      <c r="J80" s="20">
        <f t="shared" si="6"/>
        <v>2500000</v>
      </c>
    </row>
    <row r="81" spans="1:15" s="48" customFormat="1" ht="13.5" customHeight="1">
      <c r="A81" s="120"/>
      <c r="B81" s="188"/>
      <c r="C81" s="206" t="s">
        <v>157</v>
      </c>
      <c r="D81" s="208" t="s">
        <v>196</v>
      </c>
      <c r="E81" s="197">
        <v>44327</v>
      </c>
      <c r="F81" s="118" t="s">
        <v>30</v>
      </c>
      <c r="G81" s="118" t="s">
        <v>32</v>
      </c>
      <c r="H81" s="120">
        <v>1</v>
      </c>
      <c r="I81" s="20">
        <f>4974970+600000</f>
        <v>5574970</v>
      </c>
      <c r="J81" s="20">
        <f t="shared" si="6"/>
        <v>5574970</v>
      </c>
    </row>
    <row r="82" spans="1:15" s="48" customFormat="1" ht="13.5" customHeight="1">
      <c r="A82" s="120"/>
      <c r="B82" s="188"/>
      <c r="C82" s="207"/>
      <c r="D82" s="209"/>
      <c r="E82" s="210"/>
      <c r="F82" s="118" t="s">
        <v>94</v>
      </c>
      <c r="G82" s="118"/>
      <c r="H82" s="120">
        <v>1</v>
      </c>
      <c r="I82" s="20">
        <v>6023000</v>
      </c>
      <c r="J82" s="20">
        <f t="shared" si="6"/>
        <v>6023000</v>
      </c>
    </row>
    <row r="83" spans="1:15" s="48" customFormat="1" ht="13.5" customHeight="1">
      <c r="A83" s="120"/>
      <c r="B83" s="188"/>
      <c r="C83" s="202"/>
      <c r="D83" s="204"/>
      <c r="E83" s="198"/>
      <c r="F83" s="118" t="s">
        <v>96</v>
      </c>
      <c r="G83" s="118" t="s">
        <v>97</v>
      </c>
      <c r="H83" s="120">
        <v>1</v>
      </c>
      <c r="I83" s="20">
        <v>7000000</v>
      </c>
      <c r="J83" s="20">
        <f t="shared" si="6"/>
        <v>7000000</v>
      </c>
    </row>
    <row r="84" spans="1:15" s="48" customFormat="1" ht="13.5" customHeight="1">
      <c r="A84" s="120"/>
      <c r="B84" s="188"/>
      <c r="C84" s="149"/>
      <c r="D84" s="150"/>
      <c r="E84" s="118"/>
      <c r="F84" s="118" t="s">
        <v>35</v>
      </c>
      <c r="G84" s="118"/>
      <c r="H84" s="120">
        <v>1</v>
      </c>
      <c r="I84" s="20">
        <v>5752050</v>
      </c>
      <c r="J84" s="20">
        <f t="shared" si="6"/>
        <v>5752050</v>
      </c>
    </row>
    <row r="85" spans="1:15" s="48" customFormat="1" ht="13.5" customHeight="1">
      <c r="A85" s="120"/>
      <c r="B85" s="188"/>
      <c r="C85" s="211" t="s">
        <v>160</v>
      </c>
      <c r="D85" s="214"/>
      <c r="E85" s="190"/>
      <c r="F85" s="150" t="s">
        <v>199</v>
      </c>
      <c r="G85" s="118"/>
      <c r="H85" s="120">
        <v>1</v>
      </c>
      <c r="I85" s="20">
        <f>51703514+5450000</f>
        <v>57153514</v>
      </c>
      <c r="J85" s="20">
        <f t="shared" si="6"/>
        <v>57153514</v>
      </c>
    </row>
    <row r="86" spans="1:15" s="48" customFormat="1" ht="13.5" customHeight="1">
      <c r="A86" s="120"/>
      <c r="B86" s="188"/>
      <c r="C86" s="212"/>
      <c r="D86" s="215"/>
      <c r="E86" s="191"/>
      <c r="F86" s="118" t="s">
        <v>198</v>
      </c>
      <c r="G86" s="118"/>
      <c r="H86" s="120">
        <v>1</v>
      </c>
      <c r="I86" s="20">
        <f>52033513+2050000</f>
        <v>54083513</v>
      </c>
      <c r="J86" s="20">
        <f t="shared" si="6"/>
        <v>54083513</v>
      </c>
    </row>
    <row r="87" spans="1:15" s="48" customFormat="1" ht="13.5" customHeight="1">
      <c r="A87" s="120"/>
      <c r="B87" s="188"/>
      <c r="C87" s="212"/>
      <c r="D87" s="215"/>
      <c r="E87" s="191"/>
      <c r="F87" s="118" t="s">
        <v>201</v>
      </c>
      <c r="G87" s="118"/>
      <c r="H87" s="120">
        <v>1</v>
      </c>
      <c r="I87" s="20">
        <f>69631657+2050000</f>
        <v>71681657</v>
      </c>
      <c r="J87" s="20">
        <f t="shared" si="6"/>
        <v>71681657</v>
      </c>
    </row>
    <row r="88" spans="1:15" s="48" customFormat="1" ht="13.5" customHeight="1">
      <c r="A88" s="120"/>
      <c r="B88" s="188"/>
      <c r="C88" s="212"/>
      <c r="D88" s="215"/>
      <c r="E88" s="191"/>
      <c r="F88" s="118" t="s">
        <v>202</v>
      </c>
      <c r="G88" s="118"/>
      <c r="H88" s="120">
        <v>1</v>
      </c>
      <c r="I88" s="20">
        <f>67720000+2050000</f>
        <v>69770000</v>
      </c>
      <c r="J88" s="20">
        <f t="shared" si="6"/>
        <v>69770000</v>
      </c>
    </row>
    <row r="89" spans="1:15" s="48" customFormat="1" ht="13.5" customHeight="1">
      <c r="A89" s="120"/>
      <c r="B89" s="188"/>
      <c r="C89" s="212"/>
      <c r="D89" s="215"/>
      <c r="E89" s="191"/>
      <c r="F89" s="118" t="s">
        <v>203</v>
      </c>
      <c r="G89" s="118"/>
      <c r="H89" s="120">
        <v>1</v>
      </c>
      <c r="I89" s="20">
        <f>90480000+2050000</f>
        <v>92530000</v>
      </c>
      <c r="J89" s="20">
        <f t="shared" si="6"/>
        <v>92530000</v>
      </c>
    </row>
    <row r="90" spans="1:15" s="48" customFormat="1" ht="13.5" customHeight="1">
      <c r="A90" s="132"/>
      <c r="B90" s="189"/>
      <c r="C90" s="213"/>
      <c r="D90" s="216"/>
      <c r="E90" s="217"/>
      <c r="F90" s="133" t="s">
        <v>204</v>
      </c>
      <c r="G90" s="133"/>
      <c r="H90" s="132">
        <v>1</v>
      </c>
      <c r="I90" s="54">
        <f>72150000+2050000</f>
        <v>74200000</v>
      </c>
      <c r="J90" s="54">
        <f t="shared" si="6"/>
        <v>74200000</v>
      </c>
    </row>
    <row r="91" spans="1:15" s="40" customFormat="1" ht="13.5" customHeight="1">
      <c r="A91" s="135"/>
      <c r="B91" s="135"/>
      <c r="C91" s="136"/>
      <c r="D91" s="144"/>
      <c r="E91" s="136"/>
      <c r="F91" s="136"/>
      <c r="G91" s="136"/>
      <c r="H91" s="135"/>
      <c r="I91" s="138"/>
      <c r="J91" s="138">
        <f>SUM(J55:J90)</f>
        <v>620283204</v>
      </c>
      <c r="K91" s="48"/>
      <c r="L91" s="48"/>
      <c r="M91" s="48"/>
      <c r="N91" s="48"/>
      <c r="O91" s="178"/>
    </row>
    <row r="92" spans="1:15" ht="13.5" customHeight="1">
      <c r="A92" s="139"/>
      <c r="B92" s="187" t="s">
        <v>116</v>
      </c>
      <c r="C92" s="201" t="s">
        <v>140</v>
      </c>
      <c r="D92" s="203" t="s">
        <v>141</v>
      </c>
      <c r="E92" s="205">
        <v>44525</v>
      </c>
      <c r="F92" s="140" t="s">
        <v>73</v>
      </c>
      <c r="G92" s="140" t="s">
        <v>134</v>
      </c>
      <c r="H92" s="139">
        <v>2</v>
      </c>
      <c r="I92" s="19">
        <f>11580000+450000</f>
        <v>12030000</v>
      </c>
      <c r="J92" s="19">
        <f>I92*H92</f>
        <v>24060000</v>
      </c>
      <c r="K92" s="48"/>
      <c r="L92" s="48"/>
      <c r="M92" s="48"/>
      <c r="N92" s="48"/>
    </row>
    <row r="93" spans="1:15" ht="13.5" customHeight="1">
      <c r="A93" s="120"/>
      <c r="B93" s="188"/>
      <c r="C93" s="207"/>
      <c r="D93" s="209"/>
      <c r="E93" s="210"/>
      <c r="F93" s="118" t="s">
        <v>33</v>
      </c>
      <c r="G93" s="118" t="s">
        <v>135</v>
      </c>
      <c r="H93" s="120">
        <v>1</v>
      </c>
      <c r="I93" s="20">
        <v>7410000</v>
      </c>
      <c r="J93" s="20">
        <f>I93*H93</f>
        <v>7410000</v>
      </c>
      <c r="K93" s="48"/>
      <c r="L93" s="48"/>
      <c r="M93" s="48"/>
      <c r="N93" s="48"/>
    </row>
    <row r="94" spans="1:15" ht="13.5" customHeight="1">
      <c r="A94" s="120"/>
      <c r="B94" s="188"/>
      <c r="C94" s="207"/>
      <c r="D94" s="209"/>
      <c r="E94" s="210"/>
      <c r="F94" s="118"/>
      <c r="G94" s="118" t="s">
        <v>136</v>
      </c>
      <c r="H94" s="120">
        <v>1</v>
      </c>
      <c r="I94" s="20">
        <v>7300000</v>
      </c>
      <c r="J94" s="20">
        <f t="shared" ref="J94:J114" si="7">I94*H94</f>
        <v>7300000</v>
      </c>
      <c r="K94" s="48"/>
      <c r="L94" s="48"/>
      <c r="M94" s="48"/>
      <c r="N94" s="48"/>
    </row>
    <row r="95" spans="1:15" ht="13.5" customHeight="1">
      <c r="A95" s="120"/>
      <c r="B95" s="188"/>
      <c r="C95" s="207"/>
      <c r="D95" s="209"/>
      <c r="E95" s="210"/>
      <c r="F95" s="118" t="s">
        <v>37</v>
      </c>
      <c r="G95" s="118" t="s">
        <v>137</v>
      </c>
      <c r="H95" s="120">
        <v>1</v>
      </c>
      <c r="I95" s="20">
        <v>1800000</v>
      </c>
      <c r="J95" s="20">
        <f t="shared" si="7"/>
        <v>1800000</v>
      </c>
      <c r="K95" s="48"/>
      <c r="L95" s="48"/>
      <c r="M95" s="48"/>
      <c r="N95" s="48"/>
    </row>
    <row r="96" spans="1:15" ht="13.5" customHeight="1">
      <c r="A96" s="120"/>
      <c r="B96" s="188"/>
      <c r="C96" s="207"/>
      <c r="D96" s="209"/>
      <c r="E96" s="210"/>
      <c r="F96" s="118"/>
      <c r="G96" s="118" t="s">
        <v>138</v>
      </c>
      <c r="H96" s="120">
        <v>1</v>
      </c>
      <c r="I96" s="20">
        <v>1800000</v>
      </c>
      <c r="J96" s="20">
        <f t="shared" si="7"/>
        <v>1800000</v>
      </c>
      <c r="K96" s="48"/>
      <c r="L96" s="48"/>
      <c r="M96" s="48"/>
      <c r="N96" s="48"/>
    </row>
    <row r="97" spans="1:14" ht="13.5" customHeight="1">
      <c r="A97" s="120"/>
      <c r="B97" s="188"/>
      <c r="C97" s="202"/>
      <c r="D97" s="204"/>
      <c r="E97" s="198"/>
      <c r="F97" s="118"/>
      <c r="G97" s="118" t="s">
        <v>139</v>
      </c>
      <c r="H97" s="120">
        <v>1</v>
      </c>
      <c r="I97" s="20">
        <v>6950000</v>
      </c>
      <c r="J97" s="20">
        <f t="shared" si="7"/>
        <v>6950000</v>
      </c>
      <c r="K97" s="48"/>
      <c r="L97" s="48"/>
      <c r="M97" s="48"/>
      <c r="N97" s="48"/>
    </row>
    <row r="98" spans="1:14" ht="13.5" customHeight="1">
      <c r="A98" s="120"/>
      <c r="B98" s="188"/>
      <c r="C98" s="206" t="s">
        <v>60</v>
      </c>
      <c r="D98" s="208" t="s">
        <v>142</v>
      </c>
      <c r="E98" s="197">
        <v>44448</v>
      </c>
      <c r="F98" s="118" t="s">
        <v>62</v>
      </c>
      <c r="G98" s="118" t="s">
        <v>127</v>
      </c>
      <c r="H98" s="120">
        <v>1</v>
      </c>
      <c r="I98" s="20">
        <v>300000</v>
      </c>
      <c r="J98" s="20">
        <f t="shared" si="7"/>
        <v>300000</v>
      </c>
      <c r="K98" s="48"/>
      <c r="L98" s="48"/>
      <c r="M98" s="48"/>
      <c r="N98" s="48"/>
    </row>
    <row r="99" spans="1:14" ht="13.5" customHeight="1">
      <c r="A99" s="120"/>
      <c r="B99" s="188"/>
      <c r="C99" s="207"/>
      <c r="D99" s="209"/>
      <c r="E99" s="210"/>
      <c r="F99" s="118" t="s">
        <v>128</v>
      </c>
      <c r="G99" s="118" t="s">
        <v>129</v>
      </c>
      <c r="H99" s="120">
        <v>1</v>
      </c>
      <c r="I99" s="20">
        <v>1200000</v>
      </c>
      <c r="J99" s="20">
        <f t="shared" si="7"/>
        <v>1200000</v>
      </c>
      <c r="K99" s="48"/>
      <c r="L99" s="48"/>
      <c r="M99" s="48"/>
      <c r="N99" s="48"/>
    </row>
    <row r="100" spans="1:14" ht="13.5" customHeight="1">
      <c r="A100" s="120"/>
      <c r="B100" s="188"/>
      <c r="C100" s="207"/>
      <c r="D100" s="209"/>
      <c r="E100" s="210"/>
      <c r="F100" s="118" t="s">
        <v>65</v>
      </c>
      <c r="G100" s="118"/>
      <c r="H100" s="120">
        <v>1</v>
      </c>
      <c r="I100" s="20">
        <v>700000</v>
      </c>
      <c r="J100" s="20">
        <f t="shared" si="7"/>
        <v>700000</v>
      </c>
      <c r="K100" s="48"/>
      <c r="L100" s="48"/>
      <c r="M100" s="48"/>
      <c r="N100" s="48"/>
    </row>
    <row r="101" spans="1:14" ht="13.5" customHeight="1">
      <c r="A101" s="120"/>
      <c r="B101" s="188"/>
      <c r="C101" s="207"/>
      <c r="D101" s="209"/>
      <c r="E101" s="210"/>
      <c r="F101" s="118" t="s">
        <v>130</v>
      </c>
      <c r="G101" s="145" t="s">
        <v>131</v>
      </c>
      <c r="H101" s="120">
        <v>1</v>
      </c>
      <c r="I101" s="20">
        <v>500000</v>
      </c>
      <c r="J101" s="20">
        <f t="shared" si="7"/>
        <v>500000</v>
      </c>
      <c r="K101" s="48"/>
      <c r="L101" s="48"/>
      <c r="M101" s="48"/>
      <c r="N101" s="48"/>
    </row>
    <row r="102" spans="1:14" ht="13.5" customHeight="1">
      <c r="A102" s="120"/>
      <c r="B102" s="188"/>
      <c r="C102" s="207"/>
      <c r="D102" s="209"/>
      <c r="E102" s="210"/>
      <c r="F102" s="118" t="s">
        <v>144</v>
      </c>
      <c r="G102" s="145"/>
      <c r="H102" s="120">
        <v>1</v>
      </c>
      <c r="I102" s="20">
        <v>700000</v>
      </c>
      <c r="J102" s="20">
        <f t="shared" si="7"/>
        <v>700000</v>
      </c>
      <c r="K102" s="48"/>
      <c r="L102" s="48"/>
      <c r="M102" s="48"/>
      <c r="N102" s="48"/>
    </row>
    <row r="103" spans="1:14" ht="13.5" customHeight="1">
      <c r="A103" s="120"/>
      <c r="B103" s="188"/>
      <c r="C103" s="207"/>
      <c r="D103" s="209"/>
      <c r="E103" s="210"/>
      <c r="F103" s="118" t="s">
        <v>145</v>
      </c>
      <c r="G103" s="145"/>
      <c r="H103" s="120">
        <v>1</v>
      </c>
      <c r="I103" s="20">
        <v>3600000</v>
      </c>
      <c r="J103" s="20">
        <f t="shared" si="7"/>
        <v>3600000</v>
      </c>
      <c r="K103" s="48"/>
      <c r="L103" s="48"/>
      <c r="M103" s="48"/>
      <c r="N103" s="48"/>
    </row>
    <row r="104" spans="1:14" ht="13.5" customHeight="1">
      <c r="A104" s="120"/>
      <c r="B104" s="188"/>
      <c r="C104" s="207"/>
      <c r="D104" s="209"/>
      <c r="E104" s="210"/>
      <c r="F104" s="118" t="s">
        <v>146</v>
      </c>
      <c r="G104" s="145" t="s">
        <v>147</v>
      </c>
      <c r="H104" s="120">
        <v>1</v>
      </c>
      <c r="I104" s="20">
        <v>2300000</v>
      </c>
      <c r="J104" s="20">
        <f t="shared" si="7"/>
        <v>2300000</v>
      </c>
      <c r="K104" s="48"/>
      <c r="L104" s="48"/>
      <c r="M104" s="48"/>
      <c r="N104" s="48"/>
    </row>
    <row r="105" spans="1:14" ht="13.5" customHeight="1">
      <c r="A105" s="120"/>
      <c r="B105" s="188"/>
      <c r="C105" s="207"/>
      <c r="D105" s="209"/>
      <c r="E105" s="210"/>
      <c r="F105" s="118" t="s">
        <v>148</v>
      </c>
      <c r="G105" s="145"/>
      <c r="H105" s="120">
        <v>2</v>
      </c>
      <c r="I105" s="20">
        <v>600000</v>
      </c>
      <c r="J105" s="20">
        <f t="shared" si="7"/>
        <v>1200000</v>
      </c>
      <c r="K105" s="48"/>
      <c r="L105" s="48"/>
      <c r="M105" s="48"/>
      <c r="N105" s="48"/>
    </row>
    <row r="106" spans="1:14" ht="13.5" customHeight="1">
      <c r="A106" s="120"/>
      <c r="B106" s="188"/>
      <c r="C106" s="202"/>
      <c r="D106" s="204"/>
      <c r="E106" s="198"/>
      <c r="F106" s="118" t="s">
        <v>54</v>
      </c>
      <c r="G106" s="145"/>
      <c r="H106" s="120">
        <v>1</v>
      </c>
      <c r="I106" s="20">
        <v>8000000</v>
      </c>
      <c r="J106" s="20">
        <f t="shared" si="7"/>
        <v>8000000</v>
      </c>
      <c r="K106" s="48"/>
      <c r="L106" s="48"/>
      <c r="M106" s="48"/>
      <c r="N106" s="48"/>
    </row>
    <row r="107" spans="1:14" ht="13.5" customHeight="1">
      <c r="A107" s="120"/>
      <c r="B107" s="188"/>
      <c r="C107" s="151" t="s">
        <v>162</v>
      </c>
      <c r="D107" s="149" t="s">
        <v>163</v>
      </c>
      <c r="E107" s="148">
        <v>44365</v>
      </c>
      <c r="F107" s="118" t="s">
        <v>20</v>
      </c>
      <c r="G107" s="118" t="s">
        <v>143</v>
      </c>
      <c r="H107" s="120">
        <v>1</v>
      </c>
      <c r="I107" s="20">
        <f>48310000+600000</f>
        <v>48910000</v>
      </c>
      <c r="J107" s="20">
        <f t="shared" si="7"/>
        <v>48910000</v>
      </c>
      <c r="K107" s="48"/>
      <c r="L107" s="48"/>
      <c r="M107" s="48"/>
      <c r="N107" s="48"/>
    </row>
    <row r="108" spans="1:14" ht="13.5" customHeight="1">
      <c r="A108" s="120"/>
      <c r="B108" s="188"/>
      <c r="C108" s="118"/>
      <c r="D108" s="131"/>
      <c r="E108" s="118"/>
      <c r="F108" s="118" t="s">
        <v>111</v>
      </c>
      <c r="G108" s="118"/>
      <c r="H108" s="120">
        <v>1</v>
      </c>
      <c r="I108" s="20">
        <v>5000000</v>
      </c>
      <c r="J108" s="20">
        <f t="shared" si="7"/>
        <v>5000000</v>
      </c>
      <c r="K108" s="48"/>
      <c r="L108" s="48"/>
      <c r="M108" s="48"/>
      <c r="N108" s="48"/>
    </row>
    <row r="109" spans="1:14" ht="13.5" customHeight="1">
      <c r="A109" s="120"/>
      <c r="B109" s="188"/>
      <c r="C109" s="206" t="s">
        <v>149</v>
      </c>
      <c r="D109" s="208" t="s">
        <v>150</v>
      </c>
      <c r="E109" s="197">
        <v>44327</v>
      </c>
      <c r="F109" s="118" t="s">
        <v>42</v>
      </c>
      <c r="G109" s="118"/>
      <c r="H109" s="120">
        <v>4</v>
      </c>
      <c r="I109" s="20">
        <v>2139500</v>
      </c>
      <c r="J109" s="20">
        <f t="shared" si="7"/>
        <v>8558000</v>
      </c>
      <c r="K109" s="48"/>
      <c r="L109" s="48"/>
      <c r="M109" s="48"/>
      <c r="N109" s="48"/>
    </row>
    <row r="110" spans="1:14" ht="13.5" customHeight="1">
      <c r="A110" s="120"/>
      <c r="B110" s="188"/>
      <c r="C110" s="207"/>
      <c r="D110" s="209"/>
      <c r="E110" s="210"/>
      <c r="F110" s="118" t="s">
        <v>151</v>
      </c>
      <c r="G110" s="118"/>
      <c r="H110" s="120">
        <v>1</v>
      </c>
      <c r="I110" s="20">
        <v>4840000</v>
      </c>
      <c r="J110" s="20">
        <f t="shared" si="7"/>
        <v>4840000</v>
      </c>
      <c r="K110" s="48"/>
      <c r="L110" s="48"/>
      <c r="M110" s="48"/>
      <c r="N110" s="48"/>
    </row>
    <row r="111" spans="1:14" ht="13.5" customHeight="1">
      <c r="A111" s="120"/>
      <c r="B111" s="188"/>
      <c r="C111" s="207"/>
      <c r="D111" s="209"/>
      <c r="E111" s="210"/>
      <c r="F111" s="118" t="s">
        <v>46</v>
      </c>
      <c r="G111" s="118"/>
      <c r="H111" s="120">
        <v>4</v>
      </c>
      <c r="I111" s="20">
        <v>1925000</v>
      </c>
      <c r="J111" s="20">
        <f t="shared" si="7"/>
        <v>7700000</v>
      </c>
      <c r="K111" s="48"/>
      <c r="L111" s="48"/>
      <c r="M111" s="48"/>
      <c r="N111" s="48"/>
    </row>
    <row r="112" spans="1:14" ht="13.5" customHeight="1">
      <c r="A112" s="120"/>
      <c r="B112" s="188"/>
      <c r="C112" s="207"/>
      <c r="D112" s="209"/>
      <c r="E112" s="210"/>
      <c r="F112" s="118" t="s">
        <v>152</v>
      </c>
      <c r="G112" s="118" t="s">
        <v>82</v>
      </c>
      <c r="H112" s="120">
        <v>75</v>
      </c>
      <c r="I112" s="20">
        <v>140800</v>
      </c>
      <c r="J112" s="20">
        <f t="shared" si="7"/>
        <v>10560000</v>
      </c>
      <c r="K112" s="48"/>
      <c r="L112" s="48"/>
      <c r="M112" s="48"/>
      <c r="N112" s="48"/>
    </row>
    <row r="113" spans="1:14" ht="13.5" customHeight="1">
      <c r="A113" s="120"/>
      <c r="B113" s="188"/>
      <c r="C113" s="207"/>
      <c r="D113" s="209"/>
      <c r="E113" s="210"/>
      <c r="F113" s="118" t="s">
        <v>153</v>
      </c>
      <c r="G113" s="118" t="s">
        <v>84</v>
      </c>
      <c r="H113" s="120">
        <v>1</v>
      </c>
      <c r="I113" s="20">
        <v>6000000</v>
      </c>
      <c r="J113" s="20">
        <v>5800000</v>
      </c>
      <c r="K113" s="48"/>
      <c r="L113" s="48"/>
      <c r="M113" s="48"/>
      <c r="N113" s="48"/>
    </row>
    <row r="114" spans="1:14" ht="13.5" customHeight="1">
      <c r="A114" s="120"/>
      <c r="B114" s="188"/>
      <c r="C114" s="207"/>
      <c r="D114" s="209"/>
      <c r="E114" s="210"/>
      <c r="F114" s="118" t="s">
        <v>85</v>
      </c>
      <c r="G114" s="118" t="s">
        <v>154</v>
      </c>
      <c r="H114" s="120">
        <v>1</v>
      </c>
      <c r="I114" s="20">
        <f>3500000-10500</f>
        <v>3489500</v>
      </c>
      <c r="J114" s="20">
        <f t="shared" si="7"/>
        <v>3489500</v>
      </c>
      <c r="K114" s="48"/>
      <c r="L114" s="48"/>
      <c r="M114" s="48"/>
      <c r="N114" s="48"/>
    </row>
    <row r="115" spans="1:14" ht="13.5" customHeight="1">
      <c r="A115" s="120"/>
      <c r="B115" s="188"/>
      <c r="C115" s="207"/>
      <c r="D115" s="209"/>
      <c r="E115" s="210"/>
      <c r="F115" s="196" t="s">
        <v>87</v>
      </c>
      <c r="G115" s="118" t="s">
        <v>88</v>
      </c>
      <c r="H115" s="120">
        <v>2</v>
      </c>
      <c r="I115" s="20">
        <f>3400000+450000</f>
        <v>3850000</v>
      </c>
      <c r="J115" s="20">
        <f>I115*H115</f>
        <v>7700000</v>
      </c>
      <c r="K115" s="48"/>
      <c r="L115" s="48"/>
      <c r="M115" s="48"/>
      <c r="N115" s="48"/>
    </row>
    <row r="116" spans="1:14" ht="13.5" customHeight="1">
      <c r="A116" s="120"/>
      <c r="B116" s="188"/>
      <c r="C116" s="207"/>
      <c r="D116" s="209"/>
      <c r="E116" s="210"/>
      <c r="F116" s="196"/>
      <c r="G116" s="118" t="s">
        <v>89</v>
      </c>
      <c r="H116" s="120">
        <v>2</v>
      </c>
      <c r="I116" s="20">
        <v>3400000</v>
      </c>
      <c r="J116" s="20">
        <f t="shared" ref="J116:J118" si="8">I116*H116</f>
        <v>6800000</v>
      </c>
      <c r="K116" s="48"/>
      <c r="L116" s="48"/>
      <c r="M116" s="48"/>
      <c r="N116" s="48"/>
    </row>
    <row r="117" spans="1:14" ht="13.5" customHeight="1">
      <c r="A117" s="120"/>
      <c r="B117" s="188"/>
      <c r="C117" s="202"/>
      <c r="D117" s="204"/>
      <c r="E117" s="198"/>
      <c r="F117" s="118" t="s">
        <v>90</v>
      </c>
      <c r="G117" s="118" t="s">
        <v>91</v>
      </c>
      <c r="H117" s="120">
        <v>2</v>
      </c>
      <c r="I117" s="20">
        <f>5012000/2</f>
        <v>2506000</v>
      </c>
      <c r="J117" s="20">
        <f t="shared" si="8"/>
        <v>5012000</v>
      </c>
      <c r="K117" s="48"/>
      <c r="L117" s="48"/>
      <c r="M117" s="48"/>
      <c r="N117" s="48"/>
    </row>
    <row r="118" spans="1:14" ht="13.5" customHeight="1">
      <c r="A118" s="120"/>
      <c r="B118" s="188"/>
      <c r="C118" s="206" t="s">
        <v>155</v>
      </c>
      <c r="D118" s="208" t="s">
        <v>156</v>
      </c>
      <c r="E118" s="197">
        <v>44327</v>
      </c>
      <c r="F118" s="118" t="s">
        <v>94</v>
      </c>
      <c r="G118" s="118" t="s">
        <v>95</v>
      </c>
      <c r="H118" s="120">
        <v>1</v>
      </c>
      <c r="I118" s="20">
        <v>2942500</v>
      </c>
      <c r="J118" s="20">
        <f t="shared" si="8"/>
        <v>2942500</v>
      </c>
      <c r="K118" s="48"/>
      <c r="L118" s="48"/>
      <c r="M118" s="48"/>
      <c r="N118" s="48"/>
    </row>
    <row r="119" spans="1:14" ht="13.5" customHeight="1">
      <c r="A119" s="120"/>
      <c r="B119" s="188"/>
      <c r="C119" s="202"/>
      <c r="D119" s="204"/>
      <c r="E119" s="198"/>
      <c r="F119" s="118" t="s">
        <v>96</v>
      </c>
      <c r="G119" s="118" t="s">
        <v>97</v>
      </c>
      <c r="H119" s="120">
        <v>1</v>
      </c>
      <c r="I119" s="20">
        <v>6889850</v>
      </c>
      <c r="J119" s="20">
        <v>6889850</v>
      </c>
      <c r="K119" s="48"/>
      <c r="L119" s="48"/>
      <c r="M119" s="48"/>
      <c r="N119" s="48"/>
    </row>
    <row r="120" spans="1:14" ht="13.5" customHeight="1">
      <c r="A120" s="120"/>
      <c r="B120" s="188"/>
      <c r="C120" s="206" t="s">
        <v>157</v>
      </c>
      <c r="D120" s="208" t="s">
        <v>158</v>
      </c>
      <c r="E120" s="197">
        <v>44327</v>
      </c>
      <c r="F120" s="118" t="s">
        <v>30</v>
      </c>
      <c r="G120" s="118" t="s">
        <v>31</v>
      </c>
      <c r="H120" s="120">
        <v>2</v>
      </c>
      <c r="I120" s="20">
        <f>(9949900/2)+425000</f>
        <v>5399950</v>
      </c>
      <c r="J120" s="20">
        <f>I120*H120</f>
        <v>10799900</v>
      </c>
      <c r="K120" s="48"/>
      <c r="L120" s="48"/>
      <c r="M120" s="48"/>
      <c r="N120" s="48"/>
    </row>
    <row r="121" spans="1:14" ht="13.5" customHeight="1">
      <c r="A121" s="120"/>
      <c r="B121" s="188"/>
      <c r="C121" s="202"/>
      <c r="D121" s="204"/>
      <c r="E121" s="198"/>
      <c r="F121" s="118" t="s">
        <v>159</v>
      </c>
      <c r="G121" s="118"/>
      <c r="H121" s="120">
        <v>1</v>
      </c>
      <c r="I121" s="20">
        <v>7340000</v>
      </c>
      <c r="J121" s="20">
        <f>I121*H121</f>
        <v>7340000</v>
      </c>
      <c r="K121" s="48"/>
      <c r="L121" s="48"/>
      <c r="M121" s="48"/>
      <c r="N121" s="48"/>
    </row>
    <row r="122" spans="1:14" ht="13.5" customHeight="1">
      <c r="A122" s="120"/>
      <c r="B122" s="188"/>
      <c r="C122" s="118" t="s">
        <v>104</v>
      </c>
      <c r="D122" s="131"/>
      <c r="E122" s="118"/>
      <c r="F122" s="118" t="s">
        <v>105</v>
      </c>
      <c r="G122" s="118" t="s">
        <v>106</v>
      </c>
      <c r="H122" s="120">
        <v>1</v>
      </c>
      <c r="I122" s="20">
        <v>3500000</v>
      </c>
      <c r="J122" s="20">
        <f t="shared" ref="J122:J123" si="9">I122</f>
        <v>3500000</v>
      </c>
      <c r="K122" s="48"/>
      <c r="L122" s="48"/>
      <c r="M122" s="48"/>
      <c r="N122" s="48"/>
    </row>
    <row r="123" spans="1:14" ht="13.5" customHeight="1">
      <c r="A123" s="120"/>
      <c r="B123" s="188"/>
      <c r="C123" s="118" t="s">
        <v>109</v>
      </c>
      <c r="D123" s="131"/>
      <c r="E123" s="118"/>
      <c r="F123" s="118" t="s">
        <v>107</v>
      </c>
      <c r="G123" s="118"/>
      <c r="H123" s="120">
        <v>1</v>
      </c>
      <c r="I123" s="20">
        <v>995000</v>
      </c>
      <c r="J123" s="20">
        <f t="shared" si="9"/>
        <v>995000</v>
      </c>
      <c r="K123" s="48"/>
      <c r="L123" s="48"/>
      <c r="M123" s="48"/>
      <c r="N123" s="48"/>
    </row>
    <row r="124" spans="1:14" ht="13.5" customHeight="1">
      <c r="A124" s="120"/>
      <c r="B124" s="188"/>
      <c r="C124" s="118" t="s">
        <v>110</v>
      </c>
      <c r="D124" s="131"/>
      <c r="E124" s="118"/>
      <c r="F124" s="118" t="s">
        <v>108</v>
      </c>
      <c r="G124" s="118"/>
      <c r="H124" s="120">
        <v>2</v>
      </c>
      <c r="I124" s="20">
        <v>600000</v>
      </c>
      <c r="J124" s="20">
        <f>I124*H124</f>
        <v>1200000</v>
      </c>
      <c r="K124" s="48"/>
      <c r="L124" s="48"/>
      <c r="M124" s="48"/>
      <c r="N124" s="48"/>
    </row>
    <row r="125" spans="1:14" ht="13.5" customHeight="1">
      <c r="A125" s="120"/>
      <c r="B125" s="188"/>
      <c r="C125" s="190" t="s">
        <v>160</v>
      </c>
      <c r="D125" s="218"/>
      <c r="E125" s="190"/>
      <c r="F125" s="118" t="s">
        <v>161</v>
      </c>
      <c r="G125" s="118"/>
      <c r="H125" s="120">
        <v>1</v>
      </c>
      <c r="I125" s="20">
        <f>91600000+3000000</f>
        <v>94600000</v>
      </c>
      <c r="J125" s="20">
        <f>I125</f>
        <v>94600000</v>
      </c>
      <c r="K125" s="48"/>
      <c r="L125" s="48"/>
      <c r="M125" s="48"/>
      <c r="N125" s="48"/>
    </row>
    <row r="126" spans="1:14" ht="13.5" customHeight="1">
      <c r="A126" s="120"/>
      <c r="B126" s="188"/>
      <c r="C126" s="191"/>
      <c r="D126" s="219"/>
      <c r="E126" s="191"/>
      <c r="F126" s="118" t="s">
        <v>164</v>
      </c>
      <c r="G126" s="118"/>
      <c r="H126" s="120">
        <v>1</v>
      </c>
      <c r="I126" s="20">
        <f>72300000+2562500</f>
        <v>74862500</v>
      </c>
      <c r="J126" s="20">
        <f>I126</f>
        <v>74862500</v>
      </c>
      <c r="K126" s="48"/>
      <c r="L126" s="48"/>
      <c r="M126" s="48"/>
      <c r="N126" s="48"/>
    </row>
    <row r="127" spans="1:14" ht="13.5" customHeight="1">
      <c r="A127" s="120"/>
      <c r="B127" s="188"/>
      <c r="C127" s="191"/>
      <c r="D127" s="219"/>
      <c r="E127" s="191"/>
      <c r="F127" s="153" t="s">
        <v>166</v>
      </c>
      <c r="G127" s="118"/>
      <c r="H127" s="120">
        <v>1</v>
      </c>
      <c r="I127" s="154">
        <f>72250000+2562500</f>
        <v>74812500</v>
      </c>
      <c r="J127" s="20">
        <f t="shared" ref="J127:J129" si="10">I127</f>
        <v>74812500</v>
      </c>
      <c r="K127" s="48"/>
      <c r="L127" s="48"/>
      <c r="M127" s="48"/>
      <c r="N127" s="48"/>
    </row>
    <row r="128" spans="1:14" ht="13.5" customHeight="1">
      <c r="A128" s="120"/>
      <c r="B128" s="188"/>
      <c r="C128" s="191"/>
      <c r="D128" s="219"/>
      <c r="E128" s="191"/>
      <c r="F128" s="153" t="s">
        <v>167</v>
      </c>
      <c r="G128" s="118"/>
      <c r="H128" s="120">
        <v>1</v>
      </c>
      <c r="I128" s="154">
        <f>50000000+2562500</f>
        <v>52562500</v>
      </c>
      <c r="J128" s="20">
        <f t="shared" si="10"/>
        <v>52562500</v>
      </c>
      <c r="K128" s="48"/>
      <c r="L128" s="48"/>
      <c r="M128" s="48"/>
      <c r="N128" s="48"/>
    </row>
    <row r="129" spans="1:15" ht="13.5" customHeight="1">
      <c r="A129" s="120"/>
      <c r="B129" s="188"/>
      <c r="C129" s="191"/>
      <c r="D129" s="219"/>
      <c r="E129" s="191"/>
      <c r="F129" s="153" t="s">
        <v>168</v>
      </c>
      <c r="G129" s="118"/>
      <c r="H129" s="120">
        <v>1</v>
      </c>
      <c r="I129" s="154">
        <f>50225000+2562500</f>
        <v>52787500</v>
      </c>
      <c r="J129" s="20">
        <f t="shared" si="10"/>
        <v>52787500</v>
      </c>
      <c r="K129" s="48"/>
      <c r="L129" s="48"/>
      <c r="M129" s="48"/>
      <c r="N129" s="48"/>
    </row>
    <row r="130" spans="1:15" ht="13.5" customHeight="1">
      <c r="A130" s="121"/>
      <c r="B130" s="189"/>
      <c r="C130" s="217"/>
      <c r="D130" s="220"/>
      <c r="E130" s="217"/>
      <c r="F130" s="119" t="s">
        <v>165</v>
      </c>
      <c r="G130" s="119"/>
      <c r="H130" s="121">
        <v>1</v>
      </c>
      <c r="I130" s="155">
        <f>52200000+3000000</f>
        <v>55200000</v>
      </c>
      <c r="J130" s="155">
        <f>I130</f>
        <v>55200000</v>
      </c>
      <c r="K130" s="48"/>
      <c r="L130" s="48"/>
      <c r="M130" s="48"/>
      <c r="N130" s="48"/>
    </row>
    <row r="131" spans="1:15" s="40" customFormat="1" ht="13.5" customHeight="1">
      <c r="A131" s="135"/>
      <c r="B131" s="135"/>
      <c r="C131" s="136"/>
      <c r="D131" s="144"/>
      <c r="E131" s="136"/>
      <c r="F131" s="136"/>
      <c r="G131" s="136"/>
      <c r="H131" s="135"/>
      <c r="I131" s="138"/>
      <c r="J131" s="138">
        <f>SUM(J92:J130)</f>
        <v>620681750</v>
      </c>
      <c r="K131" s="48"/>
      <c r="L131" s="48"/>
      <c r="M131" s="48"/>
      <c r="N131" s="48"/>
      <c r="O131" s="178"/>
    </row>
    <row r="132" spans="1:15" ht="13.5" customHeight="1">
      <c r="A132" s="139"/>
      <c r="B132" s="187" t="s">
        <v>205</v>
      </c>
      <c r="C132" s="199" t="s">
        <v>173</v>
      </c>
      <c r="D132" s="221" t="s">
        <v>206</v>
      </c>
      <c r="E132" s="205">
        <v>44525</v>
      </c>
      <c r="F132" s="140" t="s">
        <v>73</v>
      </c>
      <c r="G132" s="140" t="s">
        <v>207</v>
      </c>
      <c r="H132" s="139">
        <v>1</v>
      </c>
      <c r="I132" s="19">
        <f>10050000+900000</f>
        <v>10950000</v>
      </c>
      <c r="J132" s="19">
        <f>I132*H132</f>
        <v>10950000</v>
      </c>
      <c r="K132" s="48"/>
      <c r="L132" s="48"/>
      <c r="M132" s="48"/>
      <c r="N132" s="48"/>
    </row>
    <row r="133" spans="1:15" ht="13.5" customHeight="1">
      <c r="A133" s="139"/>
      <c r="B133" s="188"/>
      <c r="C133" s="191"/>
      <c r="D133" s="219"/>
      <c r="E133" s="210"/>
      <c r="F133" s="140" t="s">
        <v>33</v>
      </c>
      <c r="G133" s="140" t="s">
        <v>208</v>
      </c>
      <c r="H133" s="139">
        <v>1</v>
      </c>
      <c r="I133" s="19">
        <v>7420000</v>
      </c>
      <c r="J133" s="19">
        <f>I133*H133</f>
        <v>7420000</v>
      </c>
      <c r="K133" s="48"/>
      <c r="L133" s="48"/>
      <c r="M133" s="48"/>
      <c r="N133" s="48"/>
    </row>
    <row r="134" spans="1:15" ht="13.5" customHeight="1">
      <c r="A134" s="139"/>
      <c r="B134" s="188"/>
      <c r="C134" s="191"/>
      <c r="D134" s="219"/>
      <c r="E134" s="210"/>
      <c r="F134" s="140" t="s">
        <v>33</v>
      </c>
      <c r="G134" s="140" t="s">
        <v>209</v>
      </c>
      <c r="H134" s="139">
        <v>1</v>
      </c>
      <c r="I134" s="19">
        <v>7420000</v>
      </c>
      <c r="J134" s="19">
        <f t="shared" ref="J134:J147" si="11">I134*H134</f>
        <v>7420000</v>
      </c>
      <c r="K134" s="48"/>
      <c r="L134" s="48"/>
      <c r="M134" s="48"/>
      <c r="N134" s="48"/>
    </row>
    <row r="135" spans="1:15" ht="13.5" customHeight="1">
      <c r="A135" s="139"/>
      <c r="B135" s="188"/>
      <c r="C135" s="191"/>
      <c r="D135" s="219"/>
      <c r="E135" s="210"/>
      <c r="F135" s="140" t="s">
        <v>37</v>
      </c>
      <c r="G135" s="140" t="s">
        <v>210</v>
      </c>
      <c r="H135" s="139">
        <v>2</v>
      </c>
      <c r="I135" s="19">
        <v>1820000</v>
      </c>
      <c r="J135" s="19">
        <f t="shared" si="11"/>
        <v>3640000</v>
      </c>
      <c r="K135" s="48"/>
      <c r="L135" s="48"/>
      <c r="M135" s="48"/>
      <c r="N135" s="48"/>
    </row>
    <row r="136" spans="1:15" ht="13.5" customHeight="1">
      <c r="A136" s="139"/>
      <c r="B136" s="188"/>
      <c r="C136" s="192"/>
      <c r="D136" s="222"/>
      <c r="E136" s="198"/>
      <c r="F136" s="140" t="s">
        <v>35</v>
      </c>
      <c r="G136" s="140" t="s">
        <v>211</v>
      </c>
      <c r="H136" s="139">
        <v>1</v>
      </c>
      <c r="I136" s="19">
        <v>6930000</v>
      </c>
      <c r="J136" s="19">
        <f t="shared" si="11"/>
        <v>6930000</v>
      </c>
      <c r="K136" s="48"/>
      <c r="L136" s="48"/>
      <c r="M136" s="48"/>
      <c r="N136" s="48"/>
    </row>
    <row r="137" spans="1:15" ht="13.5" customHeight="1">
      <c r="A137" s="139"/>
      <c r="B137" s="188"/>
      <c r="C137" s="206" t="s">
        <v>60</v>
      </c>
      <c r="D137" s="208" t="s">
        <v>212</v>
      </c>
      <c r="E137" s="197">
        <v>44485</v>
      </c>
      <c r="F137" s="140" t="s">
        <v>213</v>
      </c>
      <c r="G137" s="156" t="s">
        <v>214</v>
      </c>
      <c r="H137" s="139">
        <v>1</v>
      </c>
      <c r="I137" s="19">
        <v>3000000</v>
      </c>
      <c r="J137" s="19">
        <f t="shared" si="11"/>
        <v>3000000</v>
      </c>
      <c r="K137" s="48"/>
      <c r="L137" s="48"/>
      <c r="M137" s="48"/>
      <c r="N137" s="48"/>
    </row>
    <row r="138" spans="1:15" ht="13.5" customHeight="1">
      <c r="A138" s="139"/>
      <c r="B138" s="188"/>
      <c r="C138" s="207"/>
      <c r="D138" s="209"/>
      <c r="E138" s="210"/>
      <c r="F138" s="140" t="s">
        <v>128</v>
      </c>
      <c r="G138" s="140" t="s">
        <v>215</v>
      </c>
      <c r="H138" s="139">
        <v>1</v>
      </c>
      <c r="I138" s="19">
        <v>1000000</v>
      </c>
      <c r="J138" s="19">
        <f t="shared" si="11"/>
        <v>1000000</v>
      </c>
      <c r="K138" s="48"/>
      <c r="L138" s="48"/>
      <c r="M138" s="48"/>
      <c r="N138" s="48"/>
    </row>
    <row r="139" spans="1:15" ht="13.5" customHeight="1">
      <c r="A139" s="139"/>
      <c r="B139" s="188"/>
      <c r="C139" s="207"/>
      <c r="D139" s="209"/>
      <c r="E139" s="210"/>
      <c r="F139" s="140" t="s">
        <v>65</v>
      </c>
      <c r="G139" s="140"/>
      <c r="H139" s="139">
        <v>1</v>
      </c>
      <c r="I139" s="19">
        <v>700000</v>
      </c>
      <c r="J139" s="19">
        <f t="shared" si="11"/>
        <v>700000</v>
      </c>
      <c r="K139" s="48"/>
      <c r="L139" s="48"/>
      <c r="M139" s="48"/>
      <c r="N139" s="48"/>
    </row>
    <row r="140" spans="1:15" ht="13.5" customHeight="1">
      <c r="A140" s="139"/>
      <c r="B140" s="188"/>
      <c r="C140" s="207"/>
      <c r="D140" s="209"/>
      <c r="E140" s="210"/>
      <c r="F140" s="140" t="s">
        <v>130</v>
      </c>
      <c r="G140" s="156" t="s">
        <v>180</v>
      </c>
      <c r="H140" s="139">
        <v>1</v>
      </c>
      <c r="I140" s="19">
        <v>500000</v>
      </c>
      <c r="J140" s="19">
        <f t="shared" si="11"/>
        <v>500000</v>
      </c>
      <c r="K140" s="48"/>
      <c r="L140" s="48"/>
      <c r="M140" s="48"/>
      <c r="N140" s="48"/>
    </row>
    <row r="141" spans="1:15" ht="13.5" customHeight="1">
      <c r="A141" s="139"/>
      <c r="B141" s="188"/>
      <c r="C141" s="207"/>
      <c r="D141" s="209"/>
      <c r="E141" s="210"/>
      <c r="F141" s="140" t="s">
        <v>216</v>
      </c>
      <c r="G141" s="140"/>
      <c r="H141" s="139">
        <v>1</v>
      </c>
      <c r="I141" s="19">
        <v>2500000</v>
      </c>
      <c r="J141" s="19">
        <f t="shared" si="11"/>
        <v>2500000</v>
      </c>
      <c r="K141" s="48"/>
      <c r="L141" s="48"/>
      <c r="M141" s="48"/>
      <c r="N141" s="48"/>
    </row>
    <row r="142" spans="1:15" ht="13.5" customHeight="1">
      <c r="A142" s="139"/>
      <c r="B142" s="188"/>
      <c r="C142" s="202"/>
      <c r="D142" s="204"/>
      <c r="E142" s="198"/>
      <c r="F142" s="140" t="s">
        <v>54</v>
      </c>
      <c r="G142" s="140" t="s">
        <v>70</v>
      </c>
      <c r="H142" s="139">
        <v>1</v>
      </c>
      <c r="I142" s="19">
        <v>8000000</v>
      </c>
      <c r="J142" s="19">
        <f t="shared" si="11"/>
        <v>8000000</v>
      </c>
      <c r="K142" s="48"/>
      <c r="L142" s="48"/>
      <c r="M142" s="48"/>
      <c r="N142" s="48"/>
    </row>
    <row r="143" spans="1:15" ht="13.5" customHeight="1">
      <c r="A143" s="139"/>
      <c r="B143" s="188"/>
      <c r="C143" s="206" t="s">
        <v>157</v>
      </c>
      <c r="D143" s="208" t="s">
        <v>217</v>
      </c>
      <c r="E143" s="197">
        <v>44358</v>
      </c>
      <c r="F143" s="140" t="s">
        <v>94</v>
      </c>
      <c r="G143" s="140"/>
      <c r="H143" s="139">
        <v>1</v>
      </c>
      <c r="I143" s="19">
        <v>2942500</v>
      </c>
      <c r="J143" s="19">
        <f t="shared" si="11"/>
        <v>2942500</v>
      </c>
      <c r="K143" s="48"/>
      <c r="L143" s="48"/>
      <c r="M143" s="48"/>
      <c r="N143" s="48"/>
    </row>
    <row r="144" spans="1:15" ht="13.5" customHeight="1">
      <c r="A144" s="139"/>
      <c r="B144" s="188"/>
      <c r="C144" s="202"/>
      <c r="D144" s="204"/>
      <c r="E144" s="198"/>
      <c r="F144" s="140" t="s">
        <v>96</v>
      </c>
      <c r="G144" s="140" t="s">
        <v>97</v>
      </c>
      <c r="H144" s="139">
        <v>1</v>
      </c>
      <c r="I144" s="19">
        <v>6889850</v>
      </c>
      <c r="J144" s="19">
        <f t="shared" si="11"/>
        <v>6889850</v>
      </c>
      <c r="K144" s="48"/>
      <c r="L144" s="48"/>
      <c r="M144" s="48"/>
      <c r="N144" s="48"/>
    </row>
    <row r="145" spans="1:14" ht="13.5" customHeight="1">
      <c r="A145" s="139"/>
      <c r="B145" s="188"/>
      <c r="C145" s="190" t="s">
        <v>157</v>
      </c>
      <c r="D145" s="190" t="s">
        <v>217</v>
      </c>
      <c r="E145" s="197">
        <v>44358</v>
      </c>
      <c r="F145" s="190" t="s">
        <v>30</v>
      </c>
      <c r="G145" s="140" t="s">
        <v>32</v>
      </c>
      <c r="H145" s="139">
        <v>1</v>
      </c>
      <c r="I145" s="19">
        <f>4957470+600000</f>
        <v>5557470</v>
      </c>
      <c r="J145" s="19">
        <f t="shared" si="11"/>
        <v>5557470</v>
      </c>
      <c r="K145" s="48"/>
      <c r="L145" s="48"/>
      <c r="M145" s="48"/>
      <c r="N145" s="48"/>
    </row>
    <row r="146" spans="1:14" ht="13.5" customHeight="1">
      <c r="A146" s="139"/>
      <c r="B146" s="188"/>
      <c r="C146" s="192"/>
      <c r="D146" s="192"/>
      <c r="E146" s="198"/>
      <c r="F146" s="192"/>
      <c r="G146" s="140" t="s">
        <v>218</v>
      </c>
      <c r="H146" s="139">
        <v>1</v>
      </c>
      <c r="I146" s="19">
        <v>10000000</v>
      </c>
      <c r="J146" s="19">
        <f t="shared" si="11"/>
        <v>10000000</v>
      </c>
      <c r="K146" s="48"/>
      <c r="L146" s="48"/>
      <c r="M146" s="48"/>
      <c r="N146" s="48"/>
    </row>
    <row r="147" spans="1:14" ht="13.5" customHeight="1">
      <c r="A147" s="139"/>
      <c r="B147" s="188"/>
      <c r="C147" s="146" t="s">
        <v>219</v>
      </c>
      <c r="D147" s="147" t="s">
        <v>220</v>
      </c>
      <c r="E147" s="157">
        <v>44327</v>
      </c>
      <c r="F147" s="140" t="s">
        <v>20</v>
      </c>
      <c r="G147" s="140" t="s">
        <v>221</v>
      </c>
      <c r="H147" s="139">
        <v>1</v>
      </c>
      <c r="I147" s="19">
        <f>73660000+600000+850000</f>
        <v>75110000</v>
      </c>
      <c r="J147" s="19">
        <f t="shared" si="11"/>
        <v>75110000</v>
      </c>
      <c r="K147" s="48"/>
      <c r="L147" s="48"/>
      <c r="M147" s="48"/>
      <c r="N147" s="48"/>
    </row>
    <row r="148" spans="1:14" ht="13.5" customHeight="1">
      <c r="A148" s="139"/>
      <c r="B148" s="188"/>
      <c r="C148" s="191" t="s">
        <v>157</v>
      </c>
      <c r="D148" s="191" t="s">
        <v>222</v>
      </c>
      <c r="E148" s="197">
        <v>44327</v>
      </c>
      <c r="F148" s="140" t="s">
        <v>42</v>
      </c>
      <c r="G148" s="140"/>
      <c r="H148" s="139">
        <v>4</v>
      </c>
      <c r="I148" s="19">
        <f>8272000/4</f>
        <v>2068000</v>
      </c>
      <c r="J148" s="19">
        <f>I148*H148</f>
        <v>8272000</v>
      </c>
      <c r="K148" s="48"/>
      <c r="L148" s="48"/>
      <c r="M148" s="48"/>
      <c r="N148" s="48"/>
    </row>
    <row r="149" spans="1:14" ht="13.5" customHeight="1">
      <c r="A149" s="139"/>
      <c r="B149" s="188"/>
      <c r="C149" s="191"/>
      <c r="D149" s="191"/>
      <c r="E149" s="210"/>
      <c r="F149" s="140" t="s">
        <v>151</v>
      </c>
      <c r="G149" s="140"/>
      <c r="H149" s="139">
        <v>1</v>
      </c>
      <c r="I149" s="19">
        <v>4895000</v>
      </c>
      <c r="J149" s="19">
        <f t="shared" ref="J149:J150" si="12">I149*H149</f>
        <v>4895000</v>
      </c>
      <c r="K149" s="48"/>
      <c r="L149" s="48"/>
      <c r="M149" s="48"/>
      <c r="N149" s="48"/>
    </row>
    <row r="150" spans="1:14" ht="13.5" customHeight="1">
      <c r="A150" s="139"/>
      <c r="B150" s="188"/>
      <c r="C150" s="191"/>
      <c r="D150" s="191"/>
      <c r="E150" s="210"/>
      <c r="F150" s="140" t="s">
        <v>46</v>
      </c>
      <c r="G150" s="140"/>
      <c r="H150" s="139">
        <v>4</v>
      </c>
      <c r="I150" s="19">
        <f>7832000/4</f>
        <v>1958000</v>
      </c>
      <c r="J150" s="19">
        <f t="shared" si="12"/>
        <v>7832000</v>
      </c>
      <c r="K150" s="48"/>
      <c r="L150" s="48"/>
      <c r="M150" s="48"/>
      <c r="N150" s="48"/>
    </row>
    <row r="151" spans="1:14" ht="13.5" customHeight="1">
      <c r="A151" s="139"/>
      <c r="B151" s="188"/>
      <c r="C151" s="191"/>
      <c r="D151" s="191"/>
      <c r="E151" s="210"/>
      <c r="F151" s="140" t="s">
        <v>44</v>
      </c>
      <c r="G151" s="140" t="s">
        <v>82</v>
      </c>
      <c r="H151" s="139">
        <v>75</v>
      </c>
      <c r="I151" s="19">
        <f>10890000/75</f>
        <v>145200</v>
      </c>
      <c r="J151" s="19">
        <f>I151*H151</f>
        <v>10890000</v>
      </c>
      <c r="K151" s="48"/>
      <c r="L151" s="48"/>
      <c r="M151" s="48"/>
      <c r="N151" s="48"/>
    </row>
    <row r="152" spans="1:14" ht="13.5" customHeight="1">
      <c r="A152" s="139"/>
      <c r="B152" s="188"/>
      <c r="C152" s="191"/>
      <c r="D152" s="191"/>
      <c r="E152" s="210"/>
      <c r="F152" s="140" t="s">
        <v>153</v>
      </c>
      <c r="G152" s="140" t="s">
        <v>195</v>
      </c>
      <c r="H152" s="139">
        <v>1</v>
      </c>
      <c r="I152" s="19">
        <v>4895000</v>
      </c>
      <c r="J152" s="19">
        <f>I152*H152</f>
        <v>4895000</v>
      </c>
      <c r="K152" s="48"/>
      <c r="L152" s="48"/>
      <c r="M152" s="48"/>
      <c r="N152" s="48"/>
    </row>
    <row r="153" spans="1:14" ht="13.5" customHeight="1">
      <c r="A153" s="139"/>
      <c r="B153" s="188"/>
      <c r="C153" s="191"/>
      <c r="D153" s="191"/>
      <c r="E153" s="210"/>
      <c r="F153" s="196" t="s">
        <v>87</v>
      </c>
      <c r="G153" s="118" t="s">
        <v>88</v>
      </c>
      <c r="H153" s="120">
        <v>1</v>
      </c>
      <c r="I153" s="20">
        <f>3410000+850000</f>
        <v>4260000</v>
      </c>
      <c r="J153" s="20">
        <f>I153*H153</f>
        <v>4260000</v>
      </c>
      <c r="K153" s="48"/>
      <c r="L153" s="48"/>
      <c r="M153" s="48"/>
      <c r="N153" s="48"/>
    </row>
    <row r="154" spans="1:14" ht="13.5" customHeight="1">
      <c r="A154" s="139"/>
      <c r="B154" s="188"/>
      <c r="C154" s="192"/>
      <c r="D154" s="192"/>
      <c r="E154" s="198"/>
      <c r="F154" s="196"/>
      <c r="G154" s="118" t="s">
        <v>89</v>
      </c>
      <c r="H154" s="120">
        <v>1</v>
      </c>
      <c r="I154" s="20">
        <v>3410000</v>
      </c>
      <c r="J154" s="20">
        <f t="shared" ref="J154" si="13">I154*H154</f>
        <v>3410000</v>
      </c>
      <c r="K154" s="48"/>
      <c r="L154" s="48"/>
      <c r="M154" s="48"/>
      <c r="N154" s="48"/>
    </row>
    <row r="155" spans="1:14" ht="13.5" customHeight="1">
      <c r="A155" s="139"/>
      <c r="B155" s="188"/>
      <c r="C155" s="118" t="s">
        <v>104</v>
      </c>
      <c r="D155" s="131"/>
      <c r="E155" s="118"/>
      <c r="F155" s="118" t="s">
        <v>105</v>
      </c>
      <c r="G155" s="118" t="s">
        <v>106</v>
      </c>
      <c r="H155" s="120">
        <v>1</v>
      </c>
      <c r="I155" s="20">
        <v>3500000</v>
      </c>
      <c r="J155" s="20">
        <f t="shared" ref="J155:J156" si="14">I155</f>
        <v>3500000</v>
      </c>
      <c r="K155" s="48"/>
      <c r="L155" s="48"/>
      <c r="M155" s="48"/>
      <c r="N155" s="48"/>
    </row>
    <row r="156" spans="1:14" ht="13.5" customHeight="1">
      <c r="A156" s="139"/>
      <c r="B156" s="188"/>
      <c r="C156" s="118" t="s">
        <v>109</v>
      </c>
      <c r="D156" s="131"/>
      <c r="E156" s="118"/>
      <c r="F156" s="118" t="s">
        <v>107</v>
      </c>
      <c r="G156" s="118"/>
      <c r="H156" s="120">
        <v>1</v>
      </c>
      <c r="I156" s="20">
        <v>995000</v>
      </c>
      <c r="J156" s="20">
        <f t="shared" si="14"/>
        <v>995000</v>
      </c>
      <c r="K156" s="48"/>
      <c r="L156" s="48"/>
      <c r="M156" s="48"/>
      <c r="N156" s="48"/>
    </row>
    <row r="157" spans="1:14" ht="13.5" customHeight="1">
      <c r="A157" s="139"/>
      <c r="B157" s="188"/>
      <c r="C157" s="118" t="s">
        <v>110</v>
      </c>
      <c r="D157" s="131"/>
      <c r="E157" s="118"/>
      <c r="F157" s="118" t="s">
        <v>108</v>
      </c>
      <c r="G157" s="118"/>
      <c r="H157" s="120">
        <v>2</v>
      </c>
      <c r="I157" s="20">
        <v>600000</v>
      </c>
      <c r="J157" s="20">
        <f>I157*H157</f>
        <v>1200000</v>
      </c>
      <c r="K157" s="48"/>
      <c r="L157" s="48"/>
      <c r="M157" s="48"/>
      <c r="N157" s="48"/>
    </row>
    <row r="158" spans="1:14" ht="13.5" customHeight="1">
      <c r="A158" s="139"/>
      <c r="B158" s="188"/>
      <c r="C158" s="140"/>
      <c r="D158" s="159"/>
      <c r="E158" s="140"/>
      <c r="F158" s="140" t="s">
        <v>111</v>
      </c>
      <c r="G158" s="140"/>
      <c r="H158" s="139">
        <v>1</v>
      </c>
      <c r="I158" s="19">
        <v>5000000</v>
      </c>
      <c r="J158" s="19">
        <f t="shared" ref="J158:J164" si="15">I158</f>
        <v>5000000</v>
      </c>
      <c r="K158" s="48"/>
      <c r="L158" s="48"/>
      <c r="M158" s="48"/>
      <c r="N158" s="48"/>
    </row>
    <row r="159" spans="1:14" ht="13.5" customHeight="1">
      <c r="A159" s="139"/>
      <c r="B159" s="188"/>
      <c r="C159" s="190" t="s">
        <v>200</v>
      </c>
      <c r="D159" s="159"/>
      <c r="E159" s="140"/>
      <c r="F159" s="140" t="s">
        <v>223</v>
      </c>
      <c r="G159" s="140"/>
      <c r="H159" s="139">
        <v>1</v>
      </c>
      <c r="I159" s="19">
        <f>25000000+6000000</f>
        <v>31000000</v>
      </c>
      <c r="J159" s="19">
        <f t="shared" si="15"/>
        <v>31000000</v>
      </c>
      <c r="K159" s="48"/>
      <c r="L159" s="48"/>
      <c r="M159" s="48"/>
      <c r="N159" s="48"/>
    </row>
    <row r="160" spans="1:14" ht="13.5" customHeight="1">
      <c r="A160" s="139"/>
      <c r="B160" s="188"/>
      <c r="C160" s="192"/>
      <c r="D160" s="159"/>
      <c r="E160" s="140"/>
      <c r="F160" s="140" t="s">
        <v>224</v>
      </c>
      <c r="G160" s="140"/>
      <c r="H160" s="139">
        <v>1</v>
      </c>
      <c r="I160" s="19">
        <v>59444526</v>
      </c>
      <c r="J160" s="19">
        <f t="shared" si="15"/>
        <v>59444526</v>
      </c>
      <c r="K160" s="48"/>
      <c r="L160" s="48"/>
      <c r="M160" s="48"/>
      <c r="N160" s="48"/>
    </row>
    <row r="161" spans="1:15" ht="13.5" customHeight="1">
      <c r="A161" s="139"/>
      <c r="B161" s="188"/>
      <c r="C161" s="190" t="s">
        <v>200</v>
      </c>
      <c r="D161" s="159"/>
      <c r="E161" s="140"/>
      <c r="F161" s="140" t="s">
        <v>225</v>
      </c>
      <c r="G161" s="140"/>
      <c r="H161" s="139">
        <v>1</v>
      </c>
      <c r="I161" s="19">
        <f>45000000+2700000</f>
        <v>47700000</v>
      </c>
      <c r="J161" s="19">
        <f t="shared" si="15"/>
        <v>47700000</v>
      </c>
      <c r="K161" s="48"/>
      <c r="L161" s="48"/>
      <c r="M161" s="48"/>
      <c r="N161" s="48"/>
    </row>
    <row r="162" spans="1:15" ht="13.5" customHeight="1">
      <c r="A162" s="139"/>
      <c r="B162" s="188"/>
      <c r="C162" s="191"/>
      <c r="D162" s="159"/>
      <c r="E162" s="140"/>
      <c r="F162" s="140" t="s">
        <v>226</v>
      </c>
      <c r="G162" s="140"/>
      <c r="H162" s="139">
        <v>1</v>
      </c>
      <c r="I162" s="19">
        <f>45000000+2700000</f>
        <v>47700000</v>
      </c>
      <c r="J162" s="19">
        <f t="shared" si="15"/>
        <v>47700000</v>
      </c>
      <c r="K162" s="48"/>
      <c r="L162" s="48"/>
      <c r="M162" s="48"/>
      <c r="N162" s="48"/>
    </row>
    <row r="163" spans="1:15" ht="13.5" customHeight="1">
      <c r="A163" s="139"/>
      <c r="B163" s="188"/>
      <c r="C163" s="191"/>
      <c r="D163" s="159"/>
      <c r="E163" s="140"/>
      <c r="F163" s="140" t="s">
        <v>228</v>
      </c>
      <c r="G163" s="140"/>
      <c r="H163" s="139">
        <v>1</v>
      </c>
      <c r="I163" s="19">
        <f>105431657+2700000</f>
        <v>108131657</v>
      </c>
      <c r="J163" s="19">
        <f t="shared" si="15"/>
        <v>108131657</v>
      </c>
      <c r="K163" s="48"/>
      <c r="L163" s="48"/>
      <c r="M163" s="48"/>
      <c r="N163" s="48"/>
    </row>
    <row r="164" spans="1:15" ht="13.5" customHeight="1">
      <c r="A164" s="160"/>
      <c r="B164" s="189"/>
      <c r="C164" s="217"/>
      <c r="D164" s="161"/>
      <c r="E164" s="162"/>
      <c r="F164" s="162" t="s">
        <v>227</v>
      </c>
      <c r="G164" s="162"/>
      <c r="H164" s="160">
        <v>1</v>
      </c>
      <c r="I164" s="158">
        <f>104000000+2700000</f>
        <v>106700000</v>
      </c>
      <c r="J164" s="158">
        <f t="shared" si="15"/>
        <v>106700000</v>
      </c>
      <c r="K164" s="48"/>
      <c r="L164" s="48"/>
      <c r="M164" s="48"/>
      <c r="N164" s="48"/>
    </row>
    <row r="165" spans="1:15" s="40" customFormat="1" ht="13.5" customHeight="1">
      <c r="A165" s="135"/>
      <c r="B165" s="135"/>
      <c r="C165" s="136"/>
      <c r="D165" s="144"/>
      <c r="E165" s="136"/>
      <c r="F165" s="136"/>
      <c r="G165" s="136"/>
      <c r="H165" s="135"/>
      <c r="I165" s="138"/>
      <c r="J165" s="138">
        <f>SUM(J132:J164)</f>
        <v>608385003</v>
      </c>
      <c r="K165" s="48"/>
      <c r="L165" s="48"/>
      <c r="M165" s="48"/>
      <c r="N165" s="48"/>
      <c r="O165" s="178"/>
    </row>
    <row r="166" spans="1:15" ht="13.5" customHeight="1">
      <c r="A166" s="139"/>
      <c r="B166" s="223" t="s">
        <v>229</v>
      </c>
      <c r="C166" s="226" t="s">
        <v>230</v>
      </c>
      <c r="D166" s="228" t="s">
        <v>231</v>
      </c>
      <c r="E166" s="205">
        <v>44525</v>
      </c>
      <c r="F166" s="140" t="s">
        <v>73</v>
      </c>
      <c r="G166" s="140" t="s">
        <v>232</v>
      </c>
      <c r="H166" s="139">
        <v>1</v>
      </c>
      <c r="I166" s="19">
        <f>11600000+900000</f>
        <v>12500000</v>
      </c>
      <c r="J166" s="19">
        <f>I166*H166</f>
        <v>12500000</v>
      </c>
      <c r="K166" s="48"/>
      <c r="L166" s="48"/>
      <c r="M166" s="48"/>
      <c r="N166" s="48"/>
    </row>
    <row r="167" spans="1:15" ht="13.5" customHeight="1">
      <c r="A167" s="139"/>
      <c r="B167" s="224"/>
      <c r="C167" s="227"/>
      <c r="D167" s="229"/>
      <c r="E167" s="210"/>
      <c r="F167" s="190" t="s">
        <v>33</v>
      </c>
      <c r="G167" s="140" t="s">
        <v>233</v>
      </c>
      <c r="H167" s="139">
        <v>1</v>
      </c>
      <c r="I167" s="19">
        <v>8700000</v>
      </c>
      <c r="J167" s="19">
        <f>I167*H167</f>
        <v>8700000</v>
      </c>
      <c r="K167" s="48"/>
      <c r="L167" s="48"/>
      <c r="M167" s="48"/>
      <c r="N167" s="48"/>
    </row>
    <row r="168" spans="1:15" ht="13.5" customHeight="1">
      <c r="A168" s="139"/>
      <c r="B168" s="224"/>
      <c r="C168" s="227"/>
      <c r="D168" s="229"/>
      <c r="E168" s="210"/>
      <c r="F168" s="192"/>
      <c r="G168" s="140" t="s">
        <v>234</v>
      </c>
      <c r="H168" s="139">
        <v>1</v>
      </c>
      <c r="I168" s="19">
        <v>8900000</v>
      </c>
      <c r="J168" s="19">
        <f t="shared" ref="J168:J183" si="16">I168*H168</f>
        <v>8900000</v>
      </c>
      <c r="K168" s="48"/>
      <c r="L168" s="48"/>
      <c r="M168" s="48"/>
      <c r="N168" s="48"/>
    </row>
    <row r="169" spans="1:15" ht="13.5" customHeight="1">
      <c r="A169" s="139"/>
      <c r="B169" s="224"/>
      <c r="C169" s="227"/>
      <c r="D169" s="229"/>
      <c r="E169" s="210"/>
      <c r="F169" s="140" t="s">
        <v>37</v>
      </c>
      <c r="G169" s="140" t="s">
        <v>235</v>
      </c>
      <c r="H169" s="139">
        <v>2</v>
      </c>
      <c r="I169" s="19">
        <v>2630000</v>
      </c>
      <c r="J169" s="19">
        <f t="shared" si="16"/>
        <v>5260000</v>
      </c>
      <c r="K169" s="48"/>
      <c r="L169" s="48"/>
      <c r="M169" s="48"/>
      <c r="N169" s="48"/>
    </row>
    <row r="170" spans="1:15" ht="13.5" customHeight="1">
      <c r="A170" s="139"/>
      <c r="B170" s="224"/>
      <c r="C170" s="227"/>
      <c r="D170" s="229"/>
      <c r="E170" s="198"/>
      <c r="F170" s="140" t="s">
        <v>35</v>
      </c>
      <c r="G170" s="140" t="s">
        <v>139</v>
      </c>
      <c r="H170" s="139">
        <v>1</v>
      </c>
      <c r="I170" s="19">
        <v>6950000</v>
      </c>
      <c r="J170" s="19">
        <f t="shared" si="16"/>
        <v>6950000</v>
      </c>
      <c r="K170" s="48"/>
      <c r="L170" s="48"/>
      <c r="M170" s="48"/>
      <c r="N170" s="48"/>
    </row>
    <row r="171" spans="1:15" ht="13.5" customHeight="1">
      <c r="A171" s="139"/>
      <c r="B171" s="224"/>
      <c r="C171" s="227" t="s">
        <v>60</v>
      </c>
      <c r="D171" s="229" t="s">
        <v>236</v>
      </c>
      <c r="E171" s="197">
        <v>44478</v>
      </c>
      <c r="F171" s="140" t="s">
        <v>237</v>
      </c>
      <c r="G171" s="140" t="s">
        <v>238</v>
      </c>
      <c r="H171" s="139">
        <v>4</v>
      </c>
      <c r="I171" s="19">
        <v>125000</v>
      </c>
      <c r="J171" s="19">
        <f t="shared" si="16"/>
        <v>500000</v>
      </c>
      <c r="K171" s="48"/>
      <c r="L171" s="48"/>
      <c r="M171" s="48"/>
      <c r="N171" s="48"/>
    </row>
    <row r="172" spans="1:15" ht="13.5" customHeight="1">
      <c r="A172" s="139"/>
      <c r="B172" s="224"/>
      <c r="C172" s="227"/>
      <c r="D172" s="229"/>
      <c r="E172" s="210"/>
      <c r="F172" s="140" t="s">
        <v>239</v>
      </c>
      <c r="G172" s="140"/>
      <c r="H172" s="139">
        <v>1</v>
      </c>
      <c r="I172" s="19">
        <v>4500000</v>
      </c>
      <c r="J172" s="19">
        <f t="shared" si="16"/>
        <v>4500000</v>
      </c>
      <c r="K172" s="48"/>
      <c r="L172" s="48"/>
      <c r="M172" s="48"/>
      <c r="N172" s="48"/>
    </row>
    <row r="173" spans="1:15" ht="13.5" customHeight="1">
      <c r="A173" s="139"/>
      <c r="B173" s="224"/>
      <c r="C173" s="227"/>
      <c r="D173" s="229"/>
      <c r="E173" s="210"/>
      <c r="F173" s="140" t="s">
        <v>128</v>
      </c>
      <c r="G173" s="140" t="s">
        <v>215</v>
      </c>
      <c r="H173" s="139">
        <v>1</v>
      </c>
      <c r="I173" s="19">
        <v>1200000</v>
      </c>
      <c r="J173" s="19">
        <f t="shared" si="16"/>
        <v>1200000</v>
      </c>
      <c r="K173" s="48"/>
      <c r="L173" s="48"/>
      <c r="M173" s="48"/>
      <c r="N173" s="48"/>
    </row>
    <row r="174" spans="1:15" ht="13.5" customHeight="1">
      <c r="A174" s="139"/>
      <c r="B174" s="224"/>
      <c r="C174" s="227"/>
      <c r="D174" s="229"/>
      <c r="E174" s="210"/>
      <c r="F174" s="140" t="s">
        <v>144</v>
      </c>
      <c r="G174" s="140" t="s">
        <v>240</v>
      </c>
      <c r="H174" s="139">
        <v>1</v>
      </c>
      <c r="I174" s="19">
        <v>800000</v>
      </c>
      <c r="J174" s="19">
        <f t="shared" si="16"/>
        <v>800000</v>
      </c>
      <c r="K174" s="48"/>
      <c r="L174" s="48"/>
      <c r="M174" s="48"/>
      <c r="N174" s="48"/>
    </row>
    <row r="175" spans="1:15" ht="13.5" customHeight="1">
      <c r="A175" s="139"/>
      <c r="B175" s="224"/>
      <c r="C175" s="227"/>
      <c r="D175" s="229"/>
      <c r="E175" s="210"/>
      <c r="F175" s="140" t="s">
        <v>145</v>
      </c>
      <c r="G175" s="140" t="s">
        <v>241</v>
      </c>
      <c r="H175" s="139">
        <v>1</v>
      </c>
      <c r="I175" s="19">
        <v>4000000</v>
      </c>
      <c r="J175" s="19">
        <f t="shared" si="16"/>
        <v>4000000</v>
      </c>
      <c r="K175" s="48"/>
      <c r="L175" s="48"/>
      <c r="M175" s="48"/>
      <c r="N175" s="48"/>
    </row>
    <row r="176" spans="1:15" ht="13.5" customHeight="1">
      <c r="A176" s="139"/>
      <c r="B176" s="224"/>
      <c r="C176" s="227"/>
      <c r="D176" s="229"/>
      <c r="E176" s="198"/>
      <c r="F176" s="140" t="s">
        <v>146</v>
      </c>
      <c r="G176" s="140" t="s">
        <v>242</v>
      </c>
      <c r="H176" s="139">
        <v>1</v>
      </c>
      <c r="I176" s="19">
        <v>3000000</v>
      </c>
      <c r="J176" s="19">
        <f t="shared" si="16"/>
        <v>3000000</v>
      </c>
      <c r="K176" s="48"/>
      <c r="L176" s="48"/>
      <c r="M176" s="48"/>
      <c r="N176" s="48"/>
    </row>
    <row r="177" spans="1:14" ht="13.5" customHeight="1">
      <c r="A177" s="139"/>
      <c r="B177" s="224"/>
      <c r="C177" s="196" t="s">
        <v>60</v>
      </c>
      <c r="D177" s="196" t="s">
        <v>243</v>
      </c>
      <c r="E177" s="197">
        <v>44478</v>
      </c>
      <c r="F177" s="140" t="s">
        <v>213</v>
      </c>
      <c r="G177" s="140" t="s">
        <v>244</v>
      </c>
      <c r="H177" s="139">
        <v>1</v>
      </c>
      <c r="I177" s="19">
        <v>6000000</v>
      </c>
      <c r="J177" s="19">
        <f t="shared" si="16"/>
        <v>6000000</v>
      </c>
      <c r="K177" s="48"/>
      <c r="L177" s="48"/>
      <c r="M177" s="48"/>
      <c r="N177" s="48"/>
    </row>
    <row r="178" spans="1:14" ht="13.5" customHeight="1">
      <c r="A178" s="139"/>
      <c r="B178" s="224"/>
      <c r="C178" s="196"/>
      <c r="D178" s="196"/>
      <c r="E178" s="210"/>
      <c r="F178" s="140" t="s">
        <v>159</v>
      </c>
      <c r="G178" s="140" t="s">
        <v>245</v>
      </c>
      <c r="H178" s="139">
        <v>1</v>
      </c>
      <c r="I178" s="19">
        <v>7300000</v>
      </c>
      <c r="J178" s="19">
        <f t="shared" si="16"/>
        <v>7300000</v>
      </c>
      <c r="K178" s="48"/>
      <c r="L178" s="48"/>
      <c r="M178" s="48"/>
      <c r="N178" s="48"/>
    </row>
    <row r="179" spans="1:14" ht="13.5" customHeight="1">
      <c r="A179" s="139"/>
      <c r="B179" s="224"/>
      <c r="C179" s="196"/>
      <c r="D179" s="196"/>
      <c r="E179" s="210"/>
      <c r="F179" s="140" t="s">
        <v>62</v>
      </c>
      <c r="G179" s="140" t="s">
        <v>127</v>
      </c>
      <c r="H179" s="139">
        <v>1</v>
      </c>
      <c r="I179" s="19">
        <v>300000</v>
      </c>
      <c r="J179" s="19">
        <f t="shared" si="16"/>
        <v>300000</v>
      </c>
      <c r="K179" s="48"/>
      <c r="L179" s="48"/>
      <c r="M179" s="48"/>
      <c r="N179" s="48"/>
    </row>
    <row r="180" spans="1:14" ht="13.5" customHeight="1">
      <c r="A180" s="139"/>
      <c r="B180" s="224"/>
      <c r="C180" s="196"/>
      <c r="D180" s="196"/>
      <c r="E180" s="210"/>
      <c r="F180" s="140" t="s">
        <v>246</v>
      </c>
      <c r="G180" s="140" t="s">
        <v>247</v>
      </c>
      <c r="H180" s="139">
        <v>1</v>
      </c>
      <c r="I180" s="19">
        <v>200000</v>
      </c>
      <c r="J180" s="19">
        <f t="shared" si="16"/>
        <v>200000</v>
      </c>
      <c r="K180" s="48"/>
      <c r="L180" s="48"/>
      <c r="M180" s="48"/>
      <c r="N180" s="48"/>
    </row>
    <row r="181" spans="1:14" ht="13.5" customHeight="1">
      <c r="A181" s="120"/>
      <c r="B181" s="224"/>
      <c r="C181" s="196"/>
      <c r="D181" s="196"/>
      <c r="E181" s="210"/>
      <c r="F181" s="118" t="s">
        <v>130</v>
      </c>
      <c r="G181" s="118"/>
      <c r="H181" s="120">
        <v>1</v>
      </c>
      <c r="I181" s="20">
        <v>1500000</v>
      </c>
      <c r="J181" s="20">
        <f t="shared" si="16"/>
        <v>1500000</v>
      </c>
      <c r="K181" s="48"/>
      <c r="L181" s="48"/>
      <c r="M181" s="48"/>
      <c r="N181" s="48"/>
    </row>
    <row r="182" spans="1:14" ht="13.5" customHeight="1">
      <c r="A182" s="120"/>
      <c r="B182" s="224"/>
      <c r="C182" s="196"/>
      <c r="D182" s="196"/>
      <c r="E182" s="198"/>
      <c r="F182" s="118" t="s">
        <v>54</v>
      </c>
      <c r="G182" s="118" t="s">
        <v>70</v>
      </c>
      <c r="H182" s="120">
        <v>1</v>
      </c>
      <c r="I182" s="20">
        <v>8000000</v>
      </c>
      <c r="J182" s="20">
        <f t="shared" si="16"/>
        <v>8000000</v>
      </c>
      <c r="K182" s="48"/>
      <c r="L182" s="48"/>
      <c r="M182" s="48"/>
      <c r="N182" s="48"/>
    </row>
    <row r="183" spans="1:14" ht="13.5" customHeight="1">
      <c r="A183" s="120"/>
      <c r="B183" s="224"/>
      <c r="C183" s="151" t="s">
        <v>248</v>
      </c>
      <c r="D183" s="163" t="s">
        <v>249</v>
      </c>
      <c r="E183" s="148">
        <v>44371</v>
      </c>
      <c r="F183" s="118" t="s">
        <v>20</v>
      </c>
      <c r="G183" s="118" t="s">
        <v>250</v>
      </c>
      <c r="H183" s="120">
        <v>1</v>
      </c>
      <c r="I183" s="20">
        <f>8030000+600000</f>
        <v>8630000</v>
      </c>
      <c r="J183" s="20">
        <f t="shared" si="16"/>
        <v>8630000</v>
      </c>
      <c r="K183" s="48"/>
      <c r="L183" s="48"/>
      <c r="M183" s="48"/>
      <c r="N183" s="48"/>
    </row>
    <row r="184" spans="1:14" ht="13.5" customHeight="1">
      <c r="A184" s="120"/>
      <c r="B184" s="224"/>
      <c r="C184" s="227" t="s">
        <v>157</v>
      </c>
      <c r="D184" s="229" t="s">
        <v>251</v>
      </c>
      <c r="E184" s="197">
        <v>44327</v>
      </c>
      <c r="F184" s="118" t="s">
        <v>42</v>
      </c>
      <c r="G184" s="118"/>
      <c r="H184" s="120">
        <v>4</v>
      </c>
      <c r="I184" s="20">
        <f>7832000/4</f>
        <v>1958000</v>
      </c>
      <c r="J184" s="20">
        <f>I184*H184</f>
        <v>7832000</v>
      </c>
      <c r="K184" s="48"/>
      <c r="L184" s="48"/>
      <c r="M184" s="48"/>
      <c r="N184" s="48"/>
    </row>
    <row r="185" spans="1:14" ht="13.5" customHeight="1">
      <c r="A185" s="120"/>
      <c r="B185" s="224"/>
      <c r="C185" s="227"/>
      <c r="D185" s="229"/>
      <c r="E185" s="210"/>
      <c r="F185" s="118" t="s">
        <v>151</v>
      </c>
      <c r="G185" s="118"/>
      <c r="H185" s="120">
        <v>1</v>
      </c>
      <c r="I185" s="20">
        <v>4840000</v>
      </c>
      <c r="J185" s="20">
        <f>I185*H185</f>
        <v>4840000</v>
      </c>
      <c r="K185" s="48"/>
      <c r="L185" s="48"/>
      <c r="M185" s="48"/>
      <c r="N185" s="48"/>
    </row>
    <row r="186" spans="1:14" ht="13.5" customHeight="1">
      <c r="A186" s="120"/>
      <c r="B186" s="224"/>
      <c r="C186" s="227"/>
      <c r="D186" s="229"/>
      <c r="E186" s="210"/>
      <c r="F186" s="118" t="s">
        <v>46</v>
      </c>
      <c r="G186" s="118"/>
      <c r="H186" s="120">
        <v>4</v>
      </c>
      <c r="I186" s="20">
        <f>8866000/4</f>
        <v>2216500</v>
      </c>
      <c r="J186" s="20">
        <f>I186*H186</f>
        <v>8866000</v>
      </c>
      <c r="K186" s="48"/>
      <c r="L186" s="48"/>
      <c r="M186" s="48"/>
      <c r="N186" s="48"/>
    </row>
    <row r="187" spans="1:14" ht="13.5" customHeight="1">
      <c r="A187" s="120"/>
      <c r="B187" s="224"/>
      <c r="C187" s="227"/>
      <c r="D187" s="229"/>
      <c r="E187" s="210"/>
      <c r="F187" s="118" t="s">
        <v>152</v>
      </c>
      <c r="G187" s="118" t="s">
        <v>82</v>
      </c>
      <c r="H187" s="120">
        <v>50</v>
      </c>
      <c r="I187" s="20">
        <f>9817500/50</f>
        <v>196350</v>
      </c>
      <c r="J187" s="20">
        <f>I187*H187</f>
        <v>9817500</v>
      </c>
      <c r="K187" s="48"/>
      <c r="L187" s="48"/>
      <c r="M187" s="48"/>
      <c r="N187" s="48"/>
    </row>
    <row r="188" spans="1:14" ht="13.5" customHeight="1">
      <c r="A188" s="120"/>
      <c r="B188" s="224"/>
      <c r="C188" s="227"/>
      <c r="D188" s="229"/>
      <c r="E188" s="210"/>
      <c r="F188" s="118" t="s">
        <v>153</v>
      </c>
      <c r="G188" s="118" t="s">
        <v>195</v>
      </c>
      <c r="H188" s="120">
        <v>1</v>
      </c>
      <c r="I188" s="20">
        <v>4946500</v>
      </c>
      <c r="J188" s="20">
        <f>I188</f>
        <v>4946500</v>
      </c>
      <c r="K188" s="48"/>
      <c r="L188" s="48"/>
      <c r="M188" s="48"/>
      <c r="N188" s="48"/>
    </row>
    <row r="189" spans="1:14" ht="13.5" customHeight="1">
      <c r="A189" s="120"/>
      <c r="B189" s="224"/>
      <c r="C189" s="227"/>
      <c r="D189" s="229"/>
      <c r="E189" s="210"/>
      <c r="F189" s="118" t="s">
        <v>85</v>
      </c>
      <c r="G189" s="118" t="s">
        <v>86</v>
      </c>
      <c r="H189" s="120">
        <v>1</v>
      </c>
      <c r="I189" s="20">
        <v>3100000</v>
      </c>
      <c r="J189" s="20">
        <f>I189</f>
        <v>3100000</v>
      </c>
      <c r="K189" s="48"/>
      <c r="L189" s="48"/>
      <c r="M189" s="48"/>
      <c r="N189" s="48"/>
    </row>
    <row r="190" spans="1:14" ht="13.5" customHeight="1">
      <c r="A190" s="120"/>
      <c r="B190" s="224"/>
      <c r="C190" s="227"/>
      <c r="D190" s="229"/>
      <c r="E190" s="210"/>
      <c r="F190" s="196" t="s">
        <v>87</v>
      </c>
      <c r="G190" s="118" t="s">
        <v>88</v>
      </c>
      <c r="H190" s="120">
        <v>2</v>
      </c>
      <c r="I190" s="20">
        <f>3300000+450000</f>
        <v>3750000</v>
      </c>
      <c r="J190" s="20">
        <f>I190*H190</f>
        <v>7500000</v>
      </c>
      <c r="K190" s="48"/>
      <c r="L190" s="48"/>
      <c r="M190" s="48"/>
      <c r="N190" s="48"/>
    </row>
    <row r="191" spans="1:14" ht="13.5" customHeight="1">
      <c r="A191" s="120"/>
      <c r="B191" s="224"/>
      <c r="C191" s="227"/>
      <c r="D191" s="229"/>
      <c r="E191" s="210"/>
      <c r="F191" s="196"/>
      <c r="G191" s="118" t="s">
        <v>89</v>
      </c>
      <c r="H191" s="120">
        <v>2</v>
      </c>
      <c r="I191" s="20">
        <v>3300000</v>
      </c>
      <c r="J191" s="20">
        <f t="shared" ref="J191:J192" si="17">I191*H191</f>
        <v>6600000</v>
      </c>
      <c r="K191" s="48"/>
      <c r="L191" s="48"/>
      <c r="M191" s="48"/>
      <c r="N191" s="48"/>
    </row>
    <row r="192" spans="1:14" ht="13.5" customHeight="1">
      <c r="A192" s="120"/>
      <c r="B192" s="224"/>
      <c r="C192" s="227"/>
      <c r="D192" s="229"/>
      <c r="E192" s="198"/>
      <c r="F192" s="118" t="s">
        <v>90</v>
      </c>
      <c r="G192" s="118" t="s">
        <v>91</v>
      </c>
      <c r="H192" s="120">
        <v>2</v>
      </c>
      <c r="I192" s="20">
        <v>2403500</v>
      </c>
      <c r="J192" s="20">
        <f t="shared" si="17"/>
        <v>4807000</v>
      </c>
      <c r="K192" s="48"/>
      <c r="L192" s="48"/>
      <c r="M192" s="48"/>
      <c r="N192" s="48"/>
    </row>
    <row r="193" spans="1:15" ht="13.5" customHeight="1">
      <c r="A193" s="120"/>
      <c r="B193" s="224"/>
      <c r="C193" s="227" t="s">
        <v>252</v>
      </c>
      <c r="D193" s="229" t="s">
        <v>253</v>
      </c>
      <c r="E193" s="197">
        <v>44327</v>
      </c>
      <c r="F193" s="118" t="s">
        <v>94</v>
      </c>
      <c r="G193" s="118"/>
      <c r="H193" s="120">
        <v>1</v>
      </c>
      <c r="I193" s="20">
        <v>3883000</v>
      </c>
      <c r="J193" s="20">
        <f>I193</f>
        <v>3883000</v>
      </c>
      <c r="K193" s="48"/>
      <c r="L193" s="48"/>
      <c r="M193" s="48"/>
      <c r="N193" s="48"/>
    </row>
    <row r="194" spans="1:15" ht="13.5" customHeight="1">
      <c r="A194" s="120"/>
      <c r="B194" s="224"/>
      <c r="C194" s="227"/>
      <c r="D194" s="229"/>
      <c r="E194" s="198"/>
      <c r="F194" s="118" t="s">
        <v>96</v>
      </c>
      <c r="G194" s="118" t="s">
        <v>97</v>
      </c>
      <c r="H194" s="120">
        <v>1</v>
      </c>
      <c r="I194" s="20">
        <v>6889850</v>
      </c>
      <c r="J194" s="20">
        <f>I194</f>
        <v>6889850</v>
      </c>
      <c r="K194" s="48"/>
      <c r="L194" s="48"/>
      <c r="M194" s="48"/>
      <c r="N194" s="48"/>
    </row>
    <row r="195" spans="1:15" ht="13.5" customHeight="1">
      <c r="A195" s="120"/>
      <c r="B195" s="224"/>
      <c r="C195" s="151" t="s">
        <v>252</v>
      </c>
      <c r="D195" s="163" t="s">
        <v>254</v>
      </c>
      <c r="E195" s="148">
        <v>44327</v>
      </c>
      <c r="F195" s="118" t="s">
        <v>30</v>
      </c>
      <c r="G195" s="118" t="s">
        <v>100</v>
      </c>
      <c r="H195" s="120">
        <v>1</v>
      </c>
      <c r="I195" s="20">
        <f>4972000+600000</f>
        <v>5572000</v>
      </c>
      <c r="J195" s="20">
        <f>I195</f>
        <v>5572000</v>
      </c>
      <c r="K195" s="48"/>
      <c r="L195" s="48"/>
      <c r="M195" s="48"/>
      <c r="N195" s="48"/>
    </row>
    <row r="196" spans="1:15" ht="13.5" customHeight="1">
      <c r="A196" s="120"/>
      <c r="B196" s="224"/>
      <c r="C196" s="118" t="s">
        <v>104</v>
      </c>
      <c r="D196" s="131"/>
      <c r="E196" s="118"/>
      <c r="F196" s="118" t="s">
        <v>105</v>
      </c>
      <c r="G196" s="118" t="s">
        <v>106</v>
      </c>
      <c r="H196" s="120">
        <v>1</v>
      </c>
      <c r="I196" s="20">
        <v>3500000</v>
      </c>
      <c r="J196" s="20">
        <f t="shared" ref="J196:J197" si="18">I196</f>
        <v>3500000</v>
      </c>
      <c r="K196" s="48"/>
      <c r="L196" s="48"/>
      <c r="M196" s="48"/>
      <c r="N196" s="48"/>
    </row>
    <row r="197" spans="1:15" ht="13.5" customHeight="1">
      <c r="A197" s="120"/>
      <c r="B197" s="224"/>
      <c r="C197" s="118" t="s">
        <v>109</v>
      </c>
      <c r="D197" s="131"/>
      <c r="E197" s="118"/>
      <c r="F197" s="118" t="s">
        <v>107</v>
      </c>
      <c r="G197" s="118"/>
      <c r="H197" s="120">
        <v>1</v>
      </c>
      <c r="I197" s="20">
        <v>995000</v>
      </c>
      <c r="J197" s="20">
        <f t="shared" si="18"/>
        <v>995000</v>
      </c>
      <c r="K197" s="48"/>
      <c r="L197" s="48"/>
      <c r="M197" s="48"/>
      <c r="N197" s="48"/>
    </row>
    <row r="198" spans="1:15" ht="13.5" customHeight="1">
      <c r="A198" s="120"/>
      <c r="B198" s="224"/>
      <c r="C198" s="118" t="s">
        <v>110</v>
      </c>
      <c r="D198" s="131"/>
      <c r="E198" s="118"/>
      <c r="F198" s="118" t="s">
        <v>108</v>
      </c>
      <c r="G198" s="118"/>
      <c r="H198" s="120">
        <v>2</v>
      </c>
      <c r="I198" s="20">
        <v>600000</v>
      </c>
      <c r="J198" s="20">
        <f>I198*H198</f>
        <v>1200000</v>
      </c>
      <c r="K198" s="48"/>
      <c r="L198" s="48"/>
      <c r="M198" s="48"/>
      <c r="N198" s="48"/>
    </row>
    <row r="199" spans="1:15" ht="13.5" customHeight="1">
      <c r="A199" s="120"/>
      <c r="B199" s="224"/>
      <c r="C199" s="151"/>
      <c r="D199" s="131"/>
      <c r="E199" s="118"/>
      <c r="F199" s="118" t="s">
        <v>20</v>
      </c>
      <c r="G199" s="118" t="s">
        <v>255</v>
      </c>
      <c r="H199" s="120">
        <v>1</v>
      </c>
      <c r="I199" s="20">
        <v>5000000</v>
      </c>
      <c r="J199" s="20">
        <f>I199*H199</f>
        <v>5000000</v>
      </c>
      <c r="K199" s="48"/>
      <c r="L199" s="48"/>
      <c r="M199" s="48"/>
      <c r="N199" s="48"/>
    </row>
    <row r="200" spans="1:15" ht="13.5" customHeight="1">
      <c r="A200" s="120"/>
      <c r="B200" s="224"/>
      <c r="C200" s="196" t="s">
        <v>200</v>
      </c>
      <c r="D200" s="231"/>
      <c r="E200" s="190"/>
      <c r="F200" s="118" t="s">
        <v>256</v>
      </c>
      <c r="G200" s="118"/>
      <c r="H200" s="120">
        <v>1</v>
      </c>
      <c r="I200" s="20">
        <f>116642400+5400000</f>
        <v>122042400</v>
      </c>
      <c r="J200" s="20">
        <f>I200</f>
        <v>122042400</v>
      </c>
      <c r="K200" s="48"/>
      <c r="L200" s="48"/>
      <c r="M200" s="48"/>
      <c r="N200" s="48"/>
    </row>
    <row r="201" spans="1:15" ht="13.5" customHeight="1">
      <c r="A201" s="120"/>
      <c r="B201" s="224"/>
      <c r="C201" s="196"/>
      <c r="D201" s="231"/>
      <c r="E201" s="191"/>
      <c r="F201" s="118" t="s">
        <v>257</v>
      </c>
      <c r="G201" s="118"/>
      <c r="H201" s="120">
        <v>1</v>
      </c>
      <c r="I201" s="20">
        <f>105678357+3050000</f>
        <v>108728357</v>
      </c>
      <c r="J201" s="20">
        <f>I201</f>
        <v>108728357</v>
      </c>
      <c r="K201" s="48"/>
      <c r="L201" s="48"/>
      <c r="M201" s="48"/>
      <c r="N201" s="48"/>
    </row>
    <row r="202" spans="1:15" ht="13.5" customHeight="1">
      <c r="A202" s="120"/>
      <c r="B202" s="224"/>
      <c r="C202" s="196"/>
      <c r="D202" s="231"/>
      <c r="E202" s="191"/>
      <c r="F202" s="118" t="s">
        <v>258</v>
      </c>
      <c r="G202" s="118"/>
      <c r="H202" s="120">
        <v>1</v>
      </c>
      <c r="I202" s="20">
        <f>38060000+3000000</f>
        <v>41060000</v>
      </c>
      <c r="J202" s="20">
        <f t="shared" ref="J202:J205" si="19">I202</f>
        <v>41060000</v>
      </c>
      <c r="K202" s="48"/>
      <c r="L202" s="48"/>
      <c r="M202" s="48"/>
      <c r="N202" s="48"/>
    </row>
    <row r="203" spans="1:15" ht="13.5" customHeight="1">
      <c r="A203" s="120"/>
      <c r="B203" s="224"/>
      <c r="C203" s="196"/>
      <c r="D203" s="231"/>
      <c r="E203" s="191"/>
      <c r="F203" s="118" t="s">
        <v>259</v>
      </c>
      <c r="G203" s="118"/>
      <c r="H203" s="120">
        <v>1</v>
      </c>
      <c r="I203" s="20">
        <f>48840000+3000000</f>
        <v>51840000</v>
      </c>
      <c r="J203" s="20">
        <f t="shared" si="19"/>
        <v>51840000</v>
      </c>
      <c r="K203" s="48"/>
      <c r="L203" s="48"/>
      <c r="M203" s="48"/>
      <c r="N203" s="48"/>
    </row>
    <row r="204" spans="1:15" ht="13.5" customHeight="1">
      <c r="A204" s="120"/>
      <c r="B204" s="224"/>
      <c r="C204" s="196"/>
      <c r="D204" s="231"/>
      <c r="E204" s="191"/>
      <c r="F204" s="118" t="s">
        <v>260</v>
      </c>
      <c r="G204" s="118"/>
      <c r="H204" s="120">
        <v>1</v>
      </c>
      <c r="I204" s="20">
        <f>46376650+2725000</f>
        <v>49101650</v>
      </c>
      <c r="J204" s="20">
        <f t="shared" si="19"/>
        <v>49101650</v>
      </c>
      <c r="K204" s="48"/>
      <c r="L204" s="48"/>
      <c r="M204" s="48"/>
      <c r="N204" s="48"/>
    </row>
    <row r="205" spans="1:15" ht="13.5" customHeight="1">
      <c r="A205" s="132"/>
      <c r="B205" s="225"/>
      <c r="C205" s="230"/>
      <c r="D205" s="232"/>
      <c r="E205" s="217"/>
      <c r="F205" s="133" t="s">
        <v>261</v>
      </c>
      <c r="G205" s="133"/>
      <c r="H205" s="132">
        <v>1</v>
      </c>
      <c r="I205" s="54">
        <f>46376650+2725000</f>
        <v>49101650</v>
      </c>
      <c r="J205" s="54">
        <f t="shared" si="19"/>
        <v>49101650</v>
      </c>
      <c r="K205" s="48"/>
      <c r="L205" s="48"/>
      <c r="M205" s="48"/>
      <c r="N205" s="48"/>
    </row>
    <row r="206" spans="1:15" s="40" customFormat="1" ht="13.5" customHeight="1">
      <c r="A206" s="135"/>
      <c r="B206" s="135"/>
      <c r="C206" s="136"/>
      <c r="D206" s="144"/>
      <c r="E206" s="136"/>
      <c r="F206" s="136"/>
      <c r="G206" s="136"/>
      <c r="H206" s="135"/>
      <c r="I206" s="138"/>
      <c r="J206" s="138">
        <f>SUM(J166:J205)</f>
        <v>595462907</v>
      </c>
      <c r="K206" s="48"/>
      <c r="L206" s="48"/>
      <c r="M206" s="48"/>
      <c r="N206" s="48"/>
      <c r="O206" s="178"/>
    </row>
    <row r="207" spans="1:15" ht="13.5" customHeight="1">
      <c r="A207" s="139"/>
      <c r="B207" s="187" t="s">
        <v>262</v>
      </c>
      <c r="C207" s="201" t="s">
        <v>140</v>
      </c>
      <c r="D207" s="203" t="s">
        <v>263</v>
      </c>
      <c r="E207" s="205">
        <v>44505</v>
      </c>
      <c r="F207" s="140" t="s">
        <v>73</v>
      </c>
      <c r="G207" s="140" t="s">
        <v>232</v>
      </c>
      <c r="H207" s="139">
        <v>2</v>
      </c>
      <c r="I207" s="19">
        <f>11580000+450000</f>
        <v>12030000</v>
      </c>
      <c r="J207" s="19">
        <f>I207*H207</f>
        <v>24060000</v>
      </c>
      <c r="K207" s="48"/>
      <c r="L207" s="48"/>
      <c r="M207" s="48"/>
      <c r="N207" s="48"/>
    </row>
    <row r="208" spans="1:15" ht="13.5" customHeight="1">
      <c r="A208" s="120"/>
      <c r="B208" s="188"/>
      <c r="C208" s="207"/>
      <c r="D208" s="209"/>
      <c r="E208" s="210"/>
      <c r="F208" s="118" t="s">
        <v>33</v>
      </c>
      <c r="G208" s="118" t="s">
        <v>264</v>
      </c>
      <c r="H208" s="120">
        <v>1</v>
      </c>
      <c r="I208" s="20">
        <v>11070000</v>
      </c>
      <c r="J208" s="20">
        <f>I208*H208</f>
        <v>11070000</v>
      </c>
      <c r="K208" s="48"/>
      <c r="L208" s="48"/>
      <c r="M208" s="48"/>
      <c r="N208" s="48"/>
    </row>
    <row r="209" spans="1:14" ht="13.5" customHeight="1">
      <c r="A209" s="120"/>
      <c r="B209" s="188"/>
      <c r="C209" s="202"/>
      <c r="D209" s="204"/>
      <c r="E209" s="198"/>
      <c r="F209" s="118" t="s">
        <v>37</v>
      </c>
      <c r="G209" s="118" t="s">
        <v>137</v>
      </c>
      <c r="H209" s="120">
        <v>2</v>
      </c>
      <c r="I209" s="20">
        <v>1770000</v>
      </c>
      <c r="J209" s="20">
        <f>I209*H209</f>
        <v>3540000</v>
      </c>
      <c r="K209" s="48"/>
      <c r="L209" s="48"/>
      <c r="M209" s="48"/>
      <c r="N209" s="48"/>
    </row>
    <row r="210" spans="1:14" ht="13.5" customHeight="1">
      <c r="A210" s="120"/>
      <c r="B210" s="188"/>
      <c r="C210" s="164" t="s">
        <v>248</v>
      </c>
      <c r="D210" s="163" t="s">
        <v>265</v>
      </c>
      <c r="E210" s="148">
        <v>44372</v>
      </c>
      <c r="F210" s="118" t="s">
        <v>20</v>
      </c>
      <c r="G210" s="118" t="s">
        <v>172</v>
      </c>
      <c r="H210" s="120">
        <v>1</v>
      </c>
      <c r="I210" s="20">
        <v>30800000</v>
      </c>
      <c r="J210" s="20">
        <f>I210</f>
        <v>30800000</v>
      </c>
      <c r="K210" s="48"/>
      <c r="L210" s="48"/>
      <c r="M210" s="48"/>
      <c r="N210" s="48"/>
    </row>
    <row r="211" spans="1:14" ht="13.5" customHeight="1">
      <c r="A211" s="120"/>
      <c r="B211" s="188"/>
      <c r="C211" s="227" t="s">
        <v>157</v>
      </c>
      <c r="D211" s="229" t="s">
        <v>266</v>
      </c>
      <c r="E211" s="197">
        <v>44358</v>
      </c>
      <c r="F211" s="118" t="s">
        <v>94</v>
      </c>
      <c r="G211" s="118"/>
      <c r="H211" s="120">
        <v>1</v>
      </c>
      <c r="I211" s="20">
        <v>4846500</v>
      </c>
      <c r="J211" s="20">
        <f>I211</f>
        <v>4846500</v>
      </c>
      <c r="K211" s="48"/>
      <c r="L211" s="48"/>
      <c r="M211" s="48"/>
      <c r="N211" s="48"/>
    </row>
    <row r="212" spans="1:14" ht="13.5" customHeight="1">
      <c r="A212" s="120"/>
      <c r="B212" s="188"/>
      <c r="C212" s="227"/>
      <c r="D212" s="229"/>
      <c r="E212" s="198"/>
      <c r="F212" s="118" t="s">
        <v>96</v>
      </c>
      <c r="G212" s="118" t="s">
        <v>97</v>
      </c>
      <c r="H212" s="120">
        <v>1</v>
      </c>
      <c r="I212" s="20">
        <v>6889400</v>
      </c>
      <c r="J212" s="20">
        <f>I212</f>
        <v>6889400</v>
      </c>
      <c r="K212" s="48"/>
      <c r="L212" s="48"/>
      <c r="M212" s="48"/>
      <c r="N212" s="48"/>
    </row>
    <row r="213" spans="1:14" ht="13.5" customHeight="1">
      <c r="A213" s="120"/>
      <c r="B213" s="188"/>
      <c r="C213" s="227" t="s">
        <v>157</v>
      </c>
      <c r="D213" s="229" t="s">
        <v>267</v>
      </c>
      <c r="E213" s="197">
        <v>44328</v>
      </c>
      <c r="F213" s="118" t="s">
        <v>42</v>
      </c>
      <c r="G213" s="118"/>
      <c r="H213" s="120">
        <v>4</v>
      </c>
      <c r="I213" s="20">
        <v>2139500</v>
      </c>
      <c r="J213" s="20">
        <f>I213*H213</f>
        <v>8558000</v>
      </c>
      <c r="K213" s="48"/>
      <c r="L213" s="48"/>
      <c r="M213" s="48"/>
      <c r="N213" s="48"/>
    </row>
    <row r="214" spans="1:14" ht="13.5" customHeight="1">
      <c r="A214" s="120"/>
      <c r="B214" s="188"/>
      <c r="C214" s="227"/>
      <c r="D214" s="229"/>
      <c r="E214" s="210"/>
      <c r="F214" s="118" t="s">
        <v>151</v>
      </c>
      <c r="G214" s="118"/>
      <c r="H214" s="120">
        <v>1</v>
      </c>
      <c r="I214" s="20">
        <v>4840000</v>
      </c>
      <c r="J214" s="20">
        <f t="shared" ref="J214:J218" si="20">I214*H214</f>
        <v>4840000</v>
      </c>
      <c r="K214" s="48"/>
      <c r="L214" s="48"/>
      <c r="M214" s="48"/>
      <c r="N214" s="48"/>
    </row>
    <row r="215" spans="1:14" ht="13.5" customHeight="1">
      <c r="A215" s="120"/>
      <c r="B215" s="188"/>
      <c r="C215" s="227"/>
      <c r="D215" s="229"/>
      <c r="E215" s="210"/>
      <c r="F215" s="118" t="s">
        <v>46</v>
      </c>
      <c r="G215" s="118"/>
      <c r="H215" s="120">
        <v>4</v>
      </c>
      <c r="I215" s="20">
        <v>1925000</v>
      </c>
      <c r="J215" s="20">
        <f t="shared" si="20"/>
        <v>7700000</v>
      </c>
      <c r="K215" s="48"/>
      <c r="L215" s="48"/>
      <c r="M215" s="48"/>
      <c r="N215" s="48"/>
    </row>
    <row r="216" spans="1:14" ht="13.5" customHeight="1">
      <c r="A216" s="120"/>
      <c r="B216" s="188"/>
      <c r="C216" s="227"/>
      <c r="D216" s="229"/>
      <c r="E216" s="210"/>
      <c r="F216" s="118" t="s">
        <v>44</v>
      </c>
      <c r="G216" s="118" t="s">
        <v>82</v>
      </c>
      <c r="H216" s="120">
        <v>50</v>
      </c>
      <c r="I216" s="20">
        <v>140800</v>
      </c>
      <c r="J216" s="20">
        <f t="shared" si="20"/>
        <v>7040000</v>
      </c>
      <c r="K216" s="48"/>
      <c r="L216" s="48"/>
      <c r="M216" s="48"/>
      <c r="N216" s="48"/>
    </row>
    <row r="217" spans="1:14" ht="13.5" customHeight="1">
      <c r="A217" s="120"/>
      <c r="B217" s="188"/>
      <c r="C217" s="227"/>
      <c r="D217" s="229"/>
      <c r="E217" s="210"/>
      <c r="F217" s="118" t="s">
        <v>153</v>
      </c>
      <c r="G217" s="118" t="s">
        <v>195</v>
      </c>
      <c r="H217" s="120">
        <v>1</v>
      </c>
      <c r="I217" s="20">
        <v>5930000</v>
      </c>
      <c r="J217" s="20">
        <f t="shared" si="20"/>
        <v>5930000</v>
      </c>
      <c r="K217" s="48"/>
      <c r="L217" s="48"/>
      <c r="M217" s="48"/>
      <c r="N217" s="48"/>
    </row>
    <row r="218" spans="1:14" ht="13.5" customHeight="1">
      <c r="A218" s="120"/>
      <c r="B218" s="188"/>
      <c r="C218" s="227"/>
      <c r="D218" s="229"/>
      <c r="E218" s="210"/>
      <c r="F218" s="118" t="s">
        <v>85</v>
      </c>
      <c r="G218" s="118" t="s">
        <v>86</v>
      </c>
      <c r="H218" s="120">
        <v>1</v>
      </c>
      <c r="I218" s="20">
        <v>3200000</v>
      </c>
      <c r="J218" s="20">
        <f t="shared" si="20"/>
        <v>3200000</v>
      </c>
      <c r="K218" s="48"/>
      <c r="L218" s="48"/>
      <c r="M218" s="48"/>
      <c r="N218" s="48"/>
    </row>
    <row r="219" spans="1:14" ht="13.5" customHeight="1">
      <c r="A219" s="120"/>
      <c r="B219" s="188"/>
      <c r="C219" s="227"/>
      <c r="D219" s="229"/>
      <c r="E219" s="210"/>
      <c r="F219" s="196" t="s">
        <v>87</v>
      </c>
      <c r="G219" s="118" t="s">
        <v>88</v>
      </c>
      <c r="H219" s="120">
        <v>1</v>
      </c>
      <c r="I219" s="20">
        <f>3400000+850000</f>
        <v>4250000</v>
      </c>
      <c r="J219" s="20">
        <f>I219*H219</f>
        <v>4250000</v>
      </c>
      <c r="K219" s="48"/>
      <c r="L219" s="48"/>
      <c r="M219" s="48"/>
      <c r="N219" s="48"/>
    </row>
    <row r="220" spans="1:14" ht="13.5" customHeight="1">
      <c r="A220" s="120"/>
      <c r="B220" s="188"/>
      <c r="C220" s="227"/>
      <c r="D220" s="229"/>
      <c r="E220" s="210"/>
      <c r="F220" s="196"/>
      <c r="G220" s="118" t="s">
        <v>89</v>
      </c>
      <c r="H220" s="120">
        <v>1</v>
      </c>
      <c r="I220" s="20">
        <v>3400000</v>
      </c>
      <c r="J220" s="20">
        <f t="shared" ref="J220:J228" si="21">I220*H220</f>
        <v>3400000</v>
      </c>
      <c r="K220" s="48"/>
      <c r="L220" s="48"/>
      <c r="M220" s="48"/>
      <c r="N220" s="48"/>
    </row>
    <row r="221" spans="1:14" ht="13.5" customHeight="1">
      <c r="A221" s="120"/>
      <c r="B221" s="188"/>
      <c r="C221" s="227"/>
      <c r="D221" s="229"/>
      <c r="E221" s="198"/>
      <c r="F221" s="118" t="s">
        <v>90</v>
      </c>
      <c r="G221" s="118" t="s">
        <v>91</v>
      </c>
      <c r="H221" s="120">
        <v>2</v>
      </c>
      <c r="I221" s="20">
        <v>2474000</v>
      </c>
      <c r="J221" s="20">
        <f t="shared" si="21"/>
        <v>4948000</v>
      </c>
      <c r="K221" s="48"/>
      <c r="L221" s="48"/>
      <c r="M221" s="48"/>
      <c r="N221" s="48"/>
    </row>
    <row r="222" spans="1:14" ht="13.5" customHeight="1">
      <c r="A222" s="120"/>
      <c r="B222" s="188"/>
      <c r="C222" s="164" t="s">
        <v>157</v>
      </c>
      <c r="D222" s="163" t="s">
        <v>268</v>
      </c>
      <c r="E222" s="148">
        <v>44327</v>
      </c>
      <c r="F222" s="118" t="s">
        <v>30</v>
      </c>
      <c r="G222" s="118" t="s">
        <v>32</v>
      </c>
      <c r="H222" s="120">
        <v>1</v>
      </c>
      <c r="I222" s="20">
        <f>4974970+600000</f>
        <v>5574970</v>
      </c>
      <c r="J222" s="20">
        <f t="shared" si="21"/>
        <v>5574970</v>
      </c>
      <c r="K222" s="48"/>
      <c r="L222" s="48"/>
      <c r="M222" s="48"/>
      <c r="N222" s="48"/>
    </row>
    <row r="223" spans="1:14" ht="13.5" customHeight="1">
      <c r="A223" s="120"/>
      <c r="B223" s="188"/>
      <c r="C223" s="118"/>
      <c r="D223" s="131"/>
      <c r="E223" s="118"/>
      <c r="F223" s="118" t="s">
        <v>54</v>
      </c>
      <c r="G223" s="118" t="s">
        <v>70</v>
      </c>
      <c r="H223" s="120">
        <v>1</v>
      </c>
      <c r="I223" s="20">
        <v>8000000</v>
      </c>
      <c r="J223" s="20">
        <f t="shared" si="21"/>
        <v>8000000</v>
      </c>
      <c r="K223" s="48"/>
      <c r="L223" s="48"/>
      <c r="M223" s="48"/>
      <c r="N223" s="48"/>
    </row>
    <row r="224" spans="1:14" ht="13.5" customHeight="1">
      <c r="A224" s="120"/>
      <c r="B224" s="188"/>
      <c r="C224" s="118"/>
      <c r="D224" s="131"/>
      <c r="E224" s="118"/>
      <c r="F224" s="118" t="s">
        <v>62</v>
      </c>
      <c r="G224" s="118"/>
      <c r="H224" s="120">
        <v>1</v>
      </c>
      <c r="I224" s="20">
        <v>300000</v>
      </c>
      <c r="J224" s="20">
        <f t="shared" si="21"/>
        <v>300000</v>
      </c>
      <c r="K224" s="48"/>
      <c r="L224" s="48"/>
      <c r="M224" s="48"/>
      <c r="N224" s="48"/>
    </row>
    <row r="225" spans="1:14" ht="13.5" customHeight="1">
      <c r="A225" s="120"/>
      <c r="B225" s="188"/>
      <c r="C225" s="190" t="s">
        <v>248</v>
      </c>
      <c r="D225" s="218"/>
      <c r="E225" s="190"/>
      <c r="F225" s="140" t="s">
        <v>128</v>
      </c>
      <c r="G225" s="140" t="s">
        <v>215</v>
      </c>
      <c r="H225" s="139">
        <v>1</v>
      </c>
      <c r="I225" s="19">
        <v>765000</v>
      </c>
      <c r="J225" s="19">
        <f t="shared" si="21"/>
        <v>765000</v>
      </c>
      <c r="K225" s="48"/>
      <c r="L225" s="48"/>
      <c r="M225" s="48"/>
      <c r="N225" s="48"/>
    </row>
    <row r="226" spans="1:14" ht="13.5" customHeight="1">
      <c r="A226" s="120"/>
      <c r="B226" s="188"/>
      <c r="C226" s="191"/>
      <c r="D226" s="219"/>
      <c r="E226" s="191"/>
      <c r="F226" s="140" t="s">
        <v>65</v>
      </c>
      <c r="G226" s="140"/>
      <c r="H226" s="139">
        <v>1</v>
      </c>
      <c r="I226" s="19">
        <v>385000</v>
      </c>
      <c r="J226" s="19">
        <f t="shared" si="21"/>
        <v>385000</v>
      </c>
      <c r="K226" s="48"/>
      <c r="L226" s="48"/>
      <c r="M226" s="48"/>
      <c r="N226" s="48"/>
    </row>
    <row r="227" spans="1:14" ht="13.5" customHeight="1">
      <c r="A227" s="120"/>
      <c r="B227" s="188"/>
      <c r="C227" s="191"/>
      <c r="D227" s="219"/>
      <c r="E227" s="191"/>
      <c r="F227" s="140" t="s">
        <v>130</v>
      </c>
      <c r="G227" s="156" t="s">
        <v>180</v>
      </c>
      <c r="H227" s="139">
        <v>1</v>
      </c>
      <c r="I227" s="19">
        <v>500000</v>
      </c>
      <c r="J227" s="19">
        <f t="shared" si="21"/>
        <v>500000</v>
      </c>
      <c r="K227" s="48"/>
      <c r="L227" s="48"/>
      <c r="M227" s="48"/>
      <c r="N227" s="48"/>
    </row>
    <row r="228" spans="1:14" ht="13.5" customHeight="1">
      <c r="A228" s="120"/>
      <c r="B228" s="188"/>
      <c r="C228" s="192"/>
      <c r="D228" s="222"/>
      <c r="E228" s="192"/>
      <c r="F228" s="118" t="s">
        <v>35</v>
      </c>
      <c r="G228" s="118"/>
      <c r="H228" s="120">
        <v>1</v>
      </c>
      <c r="I228" s="20">
        <v>6522750</v>
      </c>
      <c r="J228" s="20">
        <f t="shared" si="21"/>
        <v>6522750</v>
      </c>
      <c r="K228" s="48"/>
      <c r="L228" s="48"/>
      <c r="M228" s="48"/>
      <c r="N228" s="48"/>
    </row>
    <row r="229" spans="1:14" ht="13.5" customHeight="1">
      <c r="A229" s="139"/>
      <c r="B229" s="188"/>
      <c r="C229" s="118" t="s">
        <v>104</v>
      </c>
      <c r="D229" s="131"/>
      <c r="E229" s="118"/>
      <c r="F229" s="118" t="s">
        <v>105</v>
      </c>
      <c r="G229" s="118" t="s">
        <v>106</v>
      </c>
      <c r="H229" s="120">
        <v>1</v>
      </c>
      <c r="I229" s="20">
        <v>3500000</v>
      </c>
      <c r="J229" s="20">
        <f t="shared" ref="J229:J230" si="22">I229</f>
        <v>3500000</v>
      </c>
      <c r="K229" s="48"/>
      <c r="L229" s="48"/>
      <c r="M229" s="48"/>
      <c r="N229" s="48"/>
    </row>
    <row r="230" spans="1:14" ht="13.5" customHeight="1">
      <c r="A230" s="120"/>
      <c r="B230" s="188"/>
      <c r="C230" s="118" t="s">
        <v>109</v>
      </c>
      <c r="D230" s="131"/>
      <c r="E230" s="118"/>
      <c r="F230" s="118" t="s">
        <v>107</v>
      </c>
      <c r="G230" s="118"/>
      <c r="H230" s="120">
        <v>1</v>
      </c>
      <c r="I230" s="20">
        <v>995000</v>
      </c>
      <c r="J230" s="20">
        <f t="shared" si="22"/>
        <v>995000</v>
      </c>
      <c r="K230" s="48"/>
      <c r="L230" s="48"/>
      <c r="M230" s="48"/>
      <c r="N230" s="48"/>
    </row>
    <row r="231" spans="1:14" ht="13.5" customHeight="1">
      <c r="A231" s="120"/>
      <c r="B231" s="188"/>
      <c r="C231" s="118" t="s">
        <v>110</v>
      </c>
      <c r="D231" s="131"/>
      <c r="E231" s="118"/>
      <c r="F231" s="118" t="s">
        <v>108</v>
      </c>
      <c r="G231" s="118"/>
      <c r="H231" s="120">
        <v>2</v>
      </c>
      <c r="I231" s="20">
        <v>600000</v>
      </c>
      <c r="J231" s="54">
        <f t="shared" ref="J231:J239" si="23">I231*H231</f>
        <v>1200000</v>
      </c>
      <c r="K231" s="48"/>
      <c r="L231" s="48"/>
      <c r="M231" s="48"/>
      <c r="N231" s="48"/>
    </row>
    <row r="232" spans="1:14" ht="13.5" customHeight="1">
      <c r="A232" s="120"/>
      <c r="B232" s="188"/>
      <c r="C232" s="151"/>
      <c r="D232" s="131"/>
      <c r="E232" s="118"/>
      <c r="F232" s="118" t="s">
        <v>20</v>
      </c>
      <c r="G232" s="118" t="s">
        <v>255</v>
      </c>
      <c r="H232" s="120">
        <v>1</v>
      </c>
      <c r="I232" s="20">
        <v>5000000</v>
      </c>
      <c r="J232" s="54">
        <f t="shared" si="23"/>
        <v>5000000</v>
      </c>
      <c r="K232" s="48"/>
      <c r="L232" s="48"/>
      <c r="M232" s="48"/>
      <c r="N232" s="48"/>
    </row>
    <row r="233" spans="1:14" ht="13.5" customHeight="1">
      <c r="A233" s="120"/>
      <c r="B233" s="188"/>
      <c r="C233" s="118"/>
      <c r="D233" s="131"/>
      <c r="E233" s="118"/>
      <c r="F233" s="118" t="s">
        <v>271</v>
      </c>
      <c r="G233" s="118" t="s">
        <v>270</v>
      </c>
      <c r="H233" s="120">
        <v>1</v>
      </c>
      <c r="I233" s="20">
        <v>7350000</v>
      </c>
      <c r="J233" s="54">
        <f t="shared" si="23"/>
        <v>7350000</v>
      </c>
      <c r="K233" s="48"/>
      <c r="L233" s="48"/>
      <c r="M233" s="48"/>
      <c r="N233" s="48"/>
    </row>
    <row r="234" spans="1:14" ht="13.5" customHeight="1">
      <c r="A234" s="120"/>
      <c r="B234" s="188"/>
      <c r="C234" s="190" t="s">
        <v>299</v>
      </c>
      <c r="D234" s="131"/>
      <c r="E234" s="118"/>
      <c r="F234" s="118" t="s">
        <v>272</v>
      </c>
      <c r="G234" s="118"/>
      <c r="H234" s="120">
        <v>1</v>
      </c>
      <c r="I234" s="20">
        <f>80872500+3050000</f>
        <v>83922500</v>
      </c>
      <c r="J234" s="54">
        <f t="shared" si="23"/>
        <v>83922500</v>
      </c>
      <c r="K234" s="48"/>
      <c r="L234" s="48"/>
      <c r="M234" s="48"/>
      <c r="N234" s="48"/>
    </row>
    <row r="235" spans="1:14" ht="13.5" customHeight="1">
      <c r="A235" s="120"/>
      <c r="B235" s="188"/>
      <c r="C235" s="191"/>
      <c r="D235" s="131"/>
      <c r="E235" s="118"/>
      <c r="F235" s="118" t="s">
        <v>269</v>
      </c>
      <c r="G235" s="118"/>
      <c r="H235" s="120">
        <v>1</v>
      </c>
      <c r="I235" s="152">
        <v>19973727</v>
      </c>
      <c r="J235" s="54">
        <f t="shared" si="23"/>
        <v>19973727</v>
      </c>
      <c r="K235" s="48"/>
      <c r="L235" s="48"/>
      <c r="M235" s="48"/>
      <c r="N235" s="48"/>
    </row>
    <row r="236" spans="1:14" ht="13.5" customHeight="1">
      <c r="A236" s="120"/>
      <c r="B236" s="188"/>
      <c r="C236" s="191"/>
      <c r="D236" s="131"/>
      <c r="E236" s="118"/>
      <c r="F236" s="118" t="s">
        <v>273</v>
      </c>
      <c r="G236" s="118"/>
      <c r="H236" s="120">
        <v>1</v>
      </c>
      <c r="I236" s="20">
        <f>20993300+3000000</f>
        <v>23993300</v>
      </c>
      <c r="J236" s="54">
        <f t="shared" si="23"/>
        <v>23993300</v>
      </c>
      <c r="K236" s="48"/>
      <c r="L236" s="48"/>
      <c r="M236" s="48"/>
      <c r="N236" s="48"/>
    </row>
    <row r="237" spans="1:14" ht="13.5" customHeight="1">
      <c r="A237" s="120"/>
      <c r="B237" s="188"/>
      <c r="C237" s="191"/>
      <c r="D237" s="131"/>
      <c r="E237" s="118"/>
      <c r="F237" s="118" t="s">
        <v>300</v>
      </c>
      <c r="G237" s="118"/>
      <c r="H237" s="120">
        <v>1</v>
      </c>
      <c r="I237" s="20">
        <f>50750000+2565000</f>
        <v>53315000</v>
      </c>
      <c r="J237" s="54">
        <f t="shared" si="23"/>
        <v>53315000</v>
      </c>
      <c r="K237" s="48"/>
      <c r="L237" s="48"/>
      <c r="M237" s="48"/>
      <c r="N237" s="48"/>
    </row>
    <row r="238" spans="1:14" ht="13.5" customHeight="1">
      <c r="A238" s="120"/>
      <c r="B238" s="188"/>
      <c r="C238" s="191"/>
      <c r="D238" s="131"/>
      <c r="E238" s="118"/>
      <c r="F238" s="118" t="s">
        <v>301</v>
      </c>
      <c r="G238" s="118"/>
      <c r="H238" s="120">
        <v>1</v>
      </c>
      <c r="I238" s="20">
        <f>61779000+2565000</f>
        <v>64344000</v>
      </c>
      <c r="J238" s="54">
        <f t="shared" si="23"/>
        <v>64344000</v>
      </c>
      <c r="K238" s="48"/>
      <c r="L238" s="48"/>
      <c r="M238" s="48"/>
      <c r="N238" s="48"/>
    </row>
    <row r="239" spans="1:14" ht="13.5" customHeight="1">
      <c r="A239" s="120"/>
      <c r="B239" s="188"/>
      <c r="C239" s="191"/>
      <c r="D239" s="131"/>
      <c r="E239" s="118"/>
      <c r="F239" s="118" t="s">
        <v>302</v>
      </c>
      <c r="G239" s="118"/>
      <c r="H239" s="120">
        <v>1</v>
      </c>
      <c r="I239" s="20">
        <f>149436000+2565000</f>
        <v>152001000</v>
      </c>
      <c r="J239" s="54">
        <f t="shared" si="23"/>
        <v>152001000</v>
      </c>
      <c r="K239" s="48"/>
      <c r="L239" s="48"/>
      <c r="M239" s="48"/>
      <c r="N239" s="48"/>
    </row>
    <row r="240" spans="1:14" ht="13.5" customHeight="1">
      <c r="A240" s="132"/>
      <c r="B240" s="189"/>
      <c r="C240" s="217"/>
      <c r="D240" s="143"/>
      <c r="E240" s="133"/>
      <c r="F240" s="133" t="s">
        <v>303</v>
      </c>
      <c r="G240" s="133"/>
      <c r="H240" s="132">
        <v>1</v>
      </c>
      <c r="I240" s="54">
        <f>38006657+2565000</f>
        <v>40571657</v>
      </c>
      <c r="J240" s="54">
        <f>I240*H240</f>
        <v>40571657</v>
      </c>
      <c r="K240" s="48"/>
      <c r="L240" s="48"/>
      <c r="M240" s="48"/>
      <c r="N240" s="48"/>
    </row>
    <row r="241" spans="1:15" s="40" customFormat="1" ht="13.5" customHeight="1">
      <c r="A241" s="135"/>
      <c r="B241" s="135"/>
      <c r="C241" s="136"/>
      <c r="D241" s="144"/>
      <c r="E241" s="136"/>
      <c r="F241" s="136"/>
      <c r="G241" s="136"/>
      <c r="H241" s="135"/>
      <c r="I241" s="138"/>
      <c r="J241" s="138">
        <f>SUM(J207:J240)</f>
        <v>609285804</v>
      </c>
      <c r="K241" s="48"/>
      <c r="L241" s="48"/>
      <c r="M241" s="48"/>
      <c r="N241" s="48"/>
      <c r="O241" s="178"/>
    </row>
    <row r="242" spans="1:15" ht="13.5" customHeight="1">
      <c r="A242" s="120"/>
      <c r="B242" s="241" t="s">
        <v>274</v>
      </c>
      <c r="C242" s="190" t="s">
        <v>275</v>
      </c>
      <c r="D242" s="218" t="s">
        <v>6</v>
      </c>
      <c r="E242" s="197">
        <v>44525</v>
      </c>
      <c r="F242" s="118" t="s">
        <v>94</v>
      </c>
      <c r="G242" s="118"/>
      <c r="H242" s="120">
        <v>1</v>
      </c>
      <c r="I242" s="20">
        <v>3000000</v>
      </c>
      <c r="J242" s="20">
        <f>I242*H242</f>
        <v>3000000</v>
      </c>
      <c r="K242" s="48"/>
      <c r="L242" s="48"/>
      <c r="M242" s="48"/>
      <c r="N242" s="48"/>
    </row>
    <row r="243" spans="1:15" ht="13.5" customHeight="1">
      <c r="A243" s="120"/>
      <c r="B243" s="242"/>
      <c r="C243" s="191"/>
      <c r="D243" s="219"/>
      <c r="E243" s="210"/>
      <c r="F243" s="118" t="s">
        <v>62</v>
      </c>
      <c r="G243" s="118" t="s">
        <v>127</v>
      </c>
      <c r="H243" s="120">
        <v>1</v>
      </c>
      <c r="I243" s="20">
        <v>300000</v>
      </c>
      <c r="J243" s="20">
        <f t="shared" ref="J243:J254" si="24">I243*H243</f>
        <v>300000</v>
      </c>
      <c r="K243" s="48"/>
      <c r="L243" s="48"/>
      <c r="M243" s="48"/>
      <c r="N243" s="48"/>
    </row>
    <row r="244" spans="1:15" ht="13.5" customHeight="1">
      <c r="A244" s="120"/>
      <c r="B244" s="242"/>
      <c r="C244" s="191"/>
      <c r="D244" s="219"/>
      <c r="E244" s="210"/>
      <c r="F244" s="118" t="s">
        <v>130</v>
      </c>
      <c r="G244" s="118"/>
      <c r="H244" s="120">
        <v>1</v>
      </c>
      <c r="I244" s="20">
        <v>2000000</v>
      </c>
      <c r="J244" s="20">
        <f t="shared" si="24"/>
        <v>2000000</v>
      </c>
      <c r="K244" s="48"/>
      <c r="L244" s="48"/>
      <c r="M244" s="48"/>
      <c r="N244" s="48"/>
    </row>
    <row r="245" spans="1:15" ht="13.5" customHeight="1">
      <c r="A245" s="120"/>
      <c r="B245" s="242"/>
      <c r="C245" s="191"/>
      <c r="D245" s="219"/>
      <c r="E245" s="210"/>
      <c r="F245" s="118" t="s">
        <v>276</v>
      </c>
      <c r="G245" s="118"/>
      <c r="H245" s="120">
        <v>1</v>
      </c>
      <c r="I245" s="20">
        <v>700000</v>
      </c>
      <c r="J245" s="20">
        <f t="shared" si="24"/>
        <v>700000</v>
      </c>
      <c r="K245" s="48"/>
      <c r="L245" s="48"/>
      <c r="M245" s="48"/>
      <c r="N245" s="48"/>
    </row>
    <row r="246" spans="1:15" ht="13.5" customHeight="1">
      <c r="A246" s="120"/>
      <c r="B246" s="242"/>
      <c r="C246" s="191"/>
      <c r="D246" s="219"/>
      <c r="E246" s="210"/>
      <c r="F246" s="118" t="s">
        <v>277</v>
      </c>
      <c r="G246" s="118"/>
      <c r="H246" s="120">
        <v>1</v>
      </c>
      <c r="I246" s="20">
        <v>4000000</v>
      </c>
      <c r="J246" s="20">
        <f t="shared" si="24"/>
        <v>4000000</v>
      </c>
      <c r="K246" s="48"/>
      <c r="L246" s="48"/>
      <c r="M246" s="48"/>
      <c r="N246" s="48"/>
    </row>
    <row r="247" spans="1:15" ht="13.5" customHeight="1">
      <c r="A247" s="120"/>
      <c r="B247" s="242"/>
      <c r="C247" s="191"/>
      <c r="D247" s="219"/>
      <c r="E247" s="210"/>
      <c r="F247" s="118" t="s">
        <v>278</v>
      </c>
      <c r="G247" s="118" t="s">
        <v>69</v>
      </c>
      <c r="H247" s="120">
        <v>1</v>
      </c>
      <c r="I247" s="20">
        <v>2500000</v>
      </c>
      <c r="J247" s="20">
        <f t="shared" si="24"/>
        <v>2500000</v>
      </c>
      <c r="K247" s="48"/>
      <c r="L247" s="48"/>
      <c r="M247" s="48"/>
      <c r="N247" s="48"/>
    </row>
    <row r="248" spans="1:15" ht="13.5" customHeight="1">
      <c r="A248" s="120"/>
      <c r="B248" s="242"/>
      <c r="C248" s="191"/>
      <c r="D248" s="219"/>
      <c r="E248" s="210"/>
      <c r="F248" s="118" t="s">
        <v>279</v>
      </c>
      <c r="G248" s="118"/>
      <c r="H248" s="120">
        <v>1</v>
      </c>
      <c r="I248" s="20">
        <v>5000000</v>
      </c>
      <c r="J248" s="20">
        <f t="shared" si="24"/>
        <v>5000000</v>
      </c>
      <c r="K248" s="48"/>
      <c r="L248" s="48"/>
      <c r="M248" s="48"/>
      <c r="N248" s="48"/>
    </row>
    <row r="249" spans="1:15" ht="13.5" customHeight="1">
      <c r="A249" s="120"/>
      <c r="B249" s="242"/>
      <c r="C249" s="192"/>
      <c r="D249" s="222"/>
      <c r="E249" s="198"/>
      <c r="F249" s="118" t="s">
        <v>280</v>
      </c>
      <c r="G249" s="118"/>
      <c r="H249" s="120">
        <v>1</v>
      </c>
      <c r="I249" s="20">
        <v>8000000</v>
      </c>
      <c r="J249" s="20">
        <f t="shared" si="24"/>
        <v>8000000</v>
      </c>
      <c r="K249" s="48"/>
      <c r="L249" s="48"/>
      <c r="M249" s="48"/>
      <c r="N249" s="48"/>
    </row>
    <row r="250" spans="1:15" ht="13.5" customHeight="1">
      <c r="A250" s="120"/>
      <c r="B250" s="242"/>
      <c r="C250" s="227" t="s">
        <v>184</v>
      </c>
      <c r="D250" s="229" t="s">
        <v>282</v>
      </c>
      <c r="E250" s="197">
        <v>44505</v>
      </c>
      <c r="F250" s="118" t="s">
        <v>73</v>
      </c>
      <c r="G250" s="118" t="s">
        <v>281</v>
      </c>
      <c r="H250" s="120">
        <v>2</v>
      </c>
      <c r="I250" s="20">
        <f>8900000+450000</f>
        <v>9350000</v>
      </c>
      <c r="J250" s="20">
        <f t="shared" si="24"/>
        <v>18700000</v>
      </c>
      <c r="K250" s="48"/>
      <c r="L250" s="48"/>
      <c r="M250" s="48"/>
      <c r="N250" s="48"/>
    </row>
    <row r="251" spans="1:15" ht="13.5" customHeight="1">
      <c r="A251" s="120"/>
      <c r="B251" s="242"/>
      <c r="C251" s="227"/>
      <c r="D251" s="229"/>
      <c r="E251" s="210"/>
      <c r="F251" s="118" t="s">
        <v>33</v>
      </c>
      <c r="G251" s="118" t="s">
        <v>283</v>
      </c>
      <c r="H251" s="120">
        <v>2</v>
      </c>
      <c r="I251" s="20">
        <v>8700000</v>
      </c>
      <c r="J251" s="20">
        <f t="shared" si="24"/>
        <v>17400000</v>
      </c>
      <c r="K251" s="48"/>
      <c r="L251" s="48"/>
      <c r="M251" s="48"/>
      <c r="N251" s="48"/>
    </row>
    <row r="252" spans="1:15" ht="13.5" customHeight="1">
      <c r="A252" s="120"/>
      <c r="B252" s="242"/>
      <c r="C252" s="227"/>
      <c r="D252" s="229"/>
      <c r="E252" s="210"/>
      <c r="F252" s="118" t="s">
        <v>37</v>
      </c>
      <c r="G252" s="118" t="s">
        <v>284</v>
      </c>
      <c r="H252" s="120">
        <v>2</v>
      </c>
      <c r="I252" s="20">
        <v>2630000</v>
      </c>
      <c r="J252" s="20">
        <f t="shared" si="24"/>
        <v>5260000</v>
      </c>
      <c r="K252" s="48"/>
      <c r="L252" s="48"/>
      <c r="M252" s="48"/>
      <c r="N252" s="48"/>
    </row>
    <row r="253" spans="1:15" ht="13.5" customHeight="1">
      <c r="A253" s="120"/>
      <c r="B253" s="242"/>
      <c r="C253" s="227"/>
      <c r="D253" s="229"/>
      <c r="E253" s="198"/>
      <c r="F253" s="118" t="s">
        <v>35</v>
      </c>
      <c r="G253" s="118" t="s">
        <v>285</v>
      </c>
      <c r="H253" s="120">
        <v>1</v>
      </c>
      <c r="I253" s="20">
        <v>9350000</v>
      </c>
      <c r="J253" s="20">
        <f t="shared" si="24"/>
        <v>9350000</v>
      </c>
      <c r="K253" s="48"/>
      <c r="L253" s="48"/>
      <c r="M253" s="48"/>
      <c r="N253" s="48"/>
    </row>
    <row r="254" spans="1:15" ht="13.5" customHeight="1">
      <c r="A254" s="120"/>
      <c r="B254" s="242"/>
      <c r="C254" s="164" t="s">
        <v>71</v>
      </c>
      <c r="D254" s="163" t="s">
        <v>8</v>
      </c>
      <c r="E254" s="148">
        <v>44432</v>
      </c>
      <c r="F254" s="118" t="s">
        <v>30</v>
      </c>
      <c r="G254" s="118" t="s">
        <v>286</v>
      </c>
      <c r="H254" s="120">
        <v>2</v>
      </c>
      <c r="I254" s="20">
        <f>13800000/2</f>
        <v>6900000</v>
      </c>
      <c r="J254" s="20">
        <f t="shared" si="24"/>
        <v>13800000</v>
      </c>
      <c r="K254" s="48"/>
      <c r="L254" s="48"/>
      <c r="M254" s="48"/>
      <c r="N254" s="48"/>
    </row>
    <row r="255" spans="1:15" ht="13.5" customHeight="1">
      <c r="A255" s="120"/>
      <c r="B255" s="242"/>
      <c r="C255" s="164" t="s">
        <v>78</v>
      </c>
      <c r="D255" s="163" t="s">
        <v>287</v>
      </c>
      <c r="E255" s="148">
        <v>44358</v>
      </c>
      <c r="F255" s="118" t="s">
        <v>96</v>
      </c>
      <c r="G255" s="118" t="s">
        <v>97</v>
      </c>
      <c r="H255" s="120">
        <v>1</v>
      </c>
      <c r="I255" s="20">
        <v>6990500</v>
      </c>
      <c r="J255" s="20">
        <f>I255</f>
        <v>6990500</v>
      </c>
      <c r="K255" s="48"/>
      <c r="L255" s="48"/>
      <c r="M255" s="48"/>
      <c r="N255" s="48"/>
    </row>
    <row r="256" spans="1:15" ht="13.5" customHeight="1">
      <c r="A256" s="120"/>
      <c r="B256" s="242"/>
      <c r="C256" s="227" t="s">
        <v>248</v>
      </c>
      <c r="D256" s="229" t="s">
        <v>288</v>
      </c>
      <c r="E256" s="197">
        <v>44327</v>
      </c>
      <c r="F256" s="118" t="s">
        <v>289</v>
      </c>
      <c r="G256" s="118"/>
      <c r="H256" s="120">
        <v>2</v>
      </c>
      <c r="I256" s="20">
        <f>4399500/2</f>
        <v>2199750</v>
      </c>
      <c r="J256" s="20">
        <f>I256*H256</f>
        <v>4399500</v>
      </c>
      <c r="K256" s="48"/>
      <c r="L256" s="48"/>
      <c r="M256" s="48"/>
      <c r="N256" s="48"/>
    </row>
    <row r="257" spans="1:15" ht="13.5" customHeight="1">
      <c r="A257" s="120"/>
      <c r="B257" s="242"/>
      <c r="C257" s="227"/>
      <c r="D257" s="229"/>
      <c r="E257" s="210"/>
      <c r="F257" s="118" t="s">
        <v>290</v>
      </c>
      <c r="G257" s="118"/>
      <c r="H257" s="120">
        <v>2</v>
      </c>
      <c r="I257" s="20">
        <f>3981500/2</f>
        <v>1990750</v>
      </c>
      <c r="J257" s="20">
        <f>I257*H257</f>
        <v>3981500</v>
      </c>
      <c r="K257" s="48"/>
      <c r="L257" s="48"/>
      <c r="M257" s="48"/>
      <c r="N257" s="48"/>
    </row>
    <row r="258" spans="1:15" ht="13.5" customHeight="1">
      <c r="A258" s="120"/>
      <c r="B258" s="242"/>
      <c r="C258" s="227"/>
      <c r="D258" s="229"/>
      <c r="E258" s="210"/>
      <c r="F258" s="118" t="s">
        <v>153</v>
      </c>
      <c r="G258" s="118" t="s">
        <v>291</v>
      </c>
      <c r="H258" s="120">
        <v>1</v>
      </c>
      <c r="I258" s="20">
        <v>6800500</v>
      </c>
      <c r="J258" s="20">
        <f>I258*H258</f>
        <v>6800500</v>
      </c>
      <c r="K258" s="48"/>
      <c r="L258" s="48"/>
      <c r="M258" s="48"/>
      <c r="N258" s="48"/>
    </row>
    <row r="259" spans="1:15" ht="13.5" customHeight="1">
      <c r="A259" s="120"/>
      <c r="B259" s="242"/>
      <c r="C259" s="227"/>
      <c r="D259" s="229"/>
      <c r="E259" s="210"/>
      <c r="F259" s="118" t="s">
        <v>292</v>
      </c>
      <c r="G259" s="118" t="s">
        <v>69</v>
      </c>
      <c r="H259" s="120">
        <v>1</v>
      </c>
      <c r="I259" s="20">
        <v>3000000</v>
      </c>
      <c r="J259" s="20">
        <f>I259*H259</f>
        <v>3000000</v>
      </c>
      <c r="K259" s="48"/>
      <c r="L259" s="48"/>
      <c r="M259" s="48"/>
      <c r="N259" s="48"/>
    </row>
    <row r="260" spans="1:15" ht="13.5" customHeight="1">
      <c r="A260" s="120"/>
      <c r="B260" s="242"/>
      <c r="C260" s="227"/>
      <c r="D260" s="229"/>
      <c r="E260" s="210"/>
      <c r="F260" s="196" t="s">
        <v>87</v>
      </c>
      <c r="G260" s="118" t="s">
        <v>88</v>
      </c>
      <c r="H260" s="120">
        <v>2</v>
      </c>
      <c r="I260" s="20">
        <f>3300000+425000</f>
        <v>3725000</v>
      </c>
      <c r="J260" s="20">
        <f>I260*H260</f>
        <v>7450000</v>
      </c>
      <c r="K260" s="48"/>
      <c r="L260" s="48"/>
      <c r="M260" s="48"/>
      <c r="N260" s="48"/>
    </row>
    <row r="261" spans="1:15" ht="13.5" customHeight="1">
      <c r="A261" s="120"/>
      <c r="B261" s="242"/>
      <c r="C261" s="227"/>
      <c r="D261" s="229"/>
      <c r="E261" s="210"/>
      <c r="F261" s="196"/>
      <c r="G261" s="118" t="s">
        <v>89</v>
      </c>
      <c r="H261" s="120">
        <v>2</v>
      </c>
      <c r="I261" s="20">
        <v>3300000</v>
      </c>
      <c r="J261" s="20">
        <f t="shared" ref="J261:J262" si="25">I261*H261</f>
        <v>6600000</v>
      </c>
      <c r="K261" s="48"/>
      <c r="L261" s="48"/>
      <c r="M261" s="48"/>
      <c r="N261" s="48"/>
    </row>
    <row r="262" spans="1:15" ht="13.5" customHeight="1">
      <c r="A262" s="120"/>
      <c r="B262" s="242"/>
      <c r="C262" s="227"/>
      <c r="D262" s="229"/>
      <c r="E262" s="198"/>
      <c r="F262" s="118" t="s">
        <v>90</v>
      </c>
      <c r="G262" s="118" t="s">
        <v>91</v>
      </c>
      <c r="H262" s="120">
        <v>2</v>
      </c>
      <c r="I262" s="20">
        <f>4838500/2</f>
        <v>2419250</v>
      </c>
      <c r="J262" s="20">
        <f t="shared" si="25"/>
        <v>4838500</v>
      </c>
      <c r="K262" s="48"/>
      <c r="L262" s="48"/>
      <c r="M262" s="48"/>
      <c r="N262" s="48"/>
    </row>
    <row r="263" spans="1:15" ht="13.5" customHeight="1">
      <c r="A263" s="120"/>
      <c r="B263" s="242"/>
      <c r="C263" s="118" t="s">
        <v>104</v>
      </c>
      <c r="D263" s="131"/>
      <c r="E263" s="118"/>
      <c r="F263" s="118" t="s">
        <v>105</v>
      </c>
      <c r="G263" s="118" t="s">
        <v>106</v>
      </c>
      <c r="H263" s="120">
        <v>1</v>
      </c>
      <c r="I263" s="20">
        <v>3500000</v>
      </c>
      <c r="J263" s="20">
        <f t="shared" ref="J263:J264" si="26">I263</f>
        <v>3500000</v>
      </c>
      <c r="K263" s="48"/>
      <c r="L263" s="48"/>
      <c r="M263" s="48"/>
      <c r="N263" s="48"/>
    </row>
    <row r="264" spans="1:15" ht="13.5" customHeight="1">
      <c r="A264" s="120"/>
      <c r="B264" s="242"/>
      <c r="C264" s="118" t="s">
        <v>109</v>
      </c>
      <c r="D264" s="131"/>
      <c r="E264" s="118"/>
      <c r="F264" s="118" t="s">
        <v>107</v>
      </c>
      <c r="G264" s="118"/>
      <c r="H264" s="120">
        <v>1</v>
      </c>
      <c r="I264" s="20">
        <v>995000</v>
      </c>
      <c r="J264" s="20">
        <f t="shared" si="26"/>
        <v>995000</v>
      </c>
      <c r="K264" s="48"/>
      <c r="L264" s="48"/>
      <c r="M264" s="48"/>
      <c r="N264" s="48"/>
    </row>
    <row r="265" spans="1:15" ht="13.5" customHeight="1">
      <c r="A265" s="120"/>
      <c r="B265" s="242"/>
      <c r="C265" s="118" t="s">
        <v>110</v>
      </c>
      <c r="D265" s="131"/>
      <c r="E265" s="118"/>
      <c r="F265" s="118" t="s">
        <v>108</v>
      </c>
      <c r="G265" s="118"/>
      <c r="H265" s="120">
        <v>2</v>
      </c>
      <c r="I265" s="20">
        <v>600000</v>
      </c>
      <c r="J265" s="20">
        <f>I265*H265</f>
        <v>1200000</v>
      </c>
      <c r="K265" s="48"/>
      <c r="L265" s="48"/>
      <c r="M265" s="48"/>
      <c r="N265" s="48"/>
    </row>
    <row r="266" spans="1:15" ht="13.5" customHeight="1">
      <c r="A266" s="120"/>
      <c r="B266" s="242"/>
      <c r="C266" s="118"/>
      <c r="D266" s="131"/>
      <c r="E266" s="118"/>
      <c r="F266" s="118" t="s">
        <v>170</v>
      </c>
      <c r="G266" s="118" t="s">
        <v>255</v>
      </c>
      <c r="H266" s="120">
        <v>1</v>
      </c>
      <c r="I266" s="20">
        <v>5000000</v>
      </c>
      <c r="J266" s="20">
        <f>I266*H266</f>
        <v>5000000</v>
      </c>
      <c r="K266" s="48"/>
      <c r="L266" s="48"/>
      <c r="M266" s="48"/>
      <c r="N266" s="48"/>
    </row>
    <row r="267" spans="1:15" ht="13.5" customHeight="1">
      <c r="A267" s="120"/>
      <c r="B267" s="242"/>
      <c r="C267" s="190" t="s">
        <v>294</v>
      </c>
      <c r="D267" s="131" t="s">
        <v>4</v>
      </c>
      <c r="E267" s="118"/>
      <c r="F267" s="118" t="s">
        <v>293</v>
      </c>
      <c r="G267" s="118" t="s">
        <v>428</v>
      </c>
      <c r="H267" s="120">
        <v>1</v>
      </c>
      <c r="I267" s="20">
        <f>111257027+4350000</f>
        <v>115607027</v>
      </c>
      <c r="J267" s="20">
        <f>I267</f>
        <v>115607027</v>
      </c>
      <c r="K267" s="48"/>
      <c r="L267" s="48"/>
      <c r="M267" s="48"/>
      <c r="N267" s="48"/>
    </row>
    <row r="268" spans="1:15" ht="13.5" customHeight="1">
      <c r="A268" s="120"/>
      <c r="B268" s="242"/>
      <c r="C268" s="191"/>
      <c r="D268" s="131" t="s">
        <v>2</v>
      </c>
      <c r="E268" s="118"/>
      <c r="F268" s="118" t="s">
        <v>295</v>
      </c>
      <c r="G268" s="118" t="s">
        <v>7</v>
      </c>
      <c r="H268" s="120">
        <v>1</v>
      </c>
      <c r="I268" s="20">
        <f>55000000+4150000</f>
        <v>59150000</v>
      </c>
      <c r="J268" s="20">
        <f>I268</f>
        <v>59150000</v>
      </c>
      <c r="K268" s="48"/>
      <c r="L268" s="48"/>
      <c r="M268" s="48"/>
      <c r="N268" s="48"/>
    </row>
    <row r="269" spans="1:15" ht="13.5" customHeight="1">
      <c r="A269" s="120"/>
      <c r="B269" s="242"/>
      <c r="C269" s="191"/>
      <c r="D269" s="131" t="s">
        <v>1</v>
      </c>
      <c r="E269" s="118"/>
      <c r="F269" s="118" t="s">
        <v>297</v>
      </c>
      <c r="G269" s="118" t="s">
        <v>425</v>
      </c>
      <c r="H269" s="120">
        <v>1</v>
      </c>
      <c r="I269" s="20">
        <f>50000000+4150000</f>
        <v>54150000</v>
      </c>
      <c r="J269" s="20">
        <f t="shared" ref="J269:J271" si="27">I269</f>
        <v>54150000</v>
      </c>
      <c r="K269" s="48"/>
      <c r="L269" s="48"/>
      <c r="M269" s="48"/>
      <c r="N269" s="48"/>
    </row>
    <row r="270" spans="1:15" ht="13.5" customHeight="1">
      <c r="A270" s="120"/>
      <c r="B270" s="242"/>
      <c r="C270" s="191"/>
      <c r="D270" s="131" t="s">
        <v>3</v>
      </c>
      <c r="E270" s="118"/>
      <c r="F270" s="118" t="s">
        <v>298</v>
      </c>
      <c r="G270" s="118" t="s">
        <v>426</v>
      </c>
      <c r="H270" s="120">
        <v>1</v>
      </c>
      <c r="I270" s="20">
        <f>60000000+4150000</f>
        <v>64150000</v>
      </c>
      <c r="J270" s="20">
        <f t="shared" si="27"/>
        <v>64150000</v>
      </c>
      <c r="K270" s="48"/>
      <c r="L270" s="48"/>
      <c r="M270" s="48"/>
      <c r="N270" s="48"/>
    </row>
    <row r="271" spans="1:15" ht="13.5" customHeight="1">
      <c r="A271" s="132"/>
      <c r="B271" s="243"/>
      <c r="C271" s="192"/>
      <c r="D271" s="143" t="s">
        <v>5</v>
      </c>
      <c r="E271" s="133"/>
      <c r="F271" s="133" t="s">
        <v>296</v>
      </c>
      <c r="G271" s="133" t="s">
        <v>427</v>
      </c>
      <c r="H271" s="132">
        <v>1</v>
      </c>
      <c r="I271" s="54">
        <f>145433957+4150000</f>
        <v>149583957</v>
      </c>
      <c r="J271" s="54">
        <f t="shared" si="27"/>
        <v>149583957</v>
      </c>
      <c r="K271" s="48"/>
      <c r="L271" s="48"/>
      <c r="M271" s="48"/>
      <c r="N271" s="48"/>
    </row>
    <row r="272" spans="1:15" s="40" customFormat="1" ht="13.5" customHeight="1">
      <c r="A272" s="135"/>
      <c r="B272" s="135"/>
      <c r="C272" s="136"/>
      <c r="D272" s="144"/>
      <c r="E272" s="136"/>
      <c r="F272" s="136"/>
      <c r="G272" s="136"/>
      <c r="H272" s="135"/>
      <c r="I272" s="138"/>
      <c r="J272" s="138">
        <f>SUM(J242:J271)</f>
        <v>587406484</v>
      </c>
      <c r="K272" s="48"/>
      <c r="L272" s="48"/>
      <c r="M272" s="48"/>
      <c r="N272" s="48"/>
      <c r="O272" s="178"/>
    </row>
    <row r="273" spans="1:14" ht="13.5" customHeight="1">
      <c r="A273" s="139"/>
      <c r="B273" s="187" t="s">
        <v>304</v>
      </c>
      <c r="C273" s="238" t="s">
        <v>173</v>
      </c>
      <c r="D273" s="240" t="s">
        <v>306</v>
      </c>
      <c r="E273" s="205">
        <v>44534</v>
      </c>
      <c r="F273" s="140" t="s">
        <v>73</v>
      </c>
      <c r="G273" s="140" t="s">
        <v>305</v>
      </c>
      <c r="H273" s="139">
        <v>2</v>
      </c>
      <c r="I273" s="19">
        <f>9300000+425000</f>
        <v>9725000</v>
      </c>
      <c r="J273" s="19">
        <f>I273*H273</f>
        <v>19450000</v>
      </c>
      <c r="K273" s="48"/>
      <c r="L273" s="48"/>
      <c r="M273" s="48"/>
      <c r="N273" s="48"/>
    </row>
    <row r="274" spans="1:14" ht="13.5" customHeight="1">
      <c r="A274" s="139"/>
      <c r="B274" s="188"/>
      <c r="C274" s="239"/>
      <c r="D274" s="234"/>
      <c r="E274" s="210"/>
      <c r="F274" s="190" t="s">
        <v>33</v>
      </c>
      <c r="G274" s="140" t="s">
        <v>208</v>
      </c>
      <c r="H274" s="139">
        <v>1</v>
      </c>
      <c r="I274" s="19">
        <v>7430000</v>
      </c>
      <c r="J274" s="19">
        <f>I274*H274</f>
        <v>7430000</v>
      </c>
      <c r="K274" s="48"/>
      <c r="L274" s="48"/>
      <c r="M274" s="48"/>
      <c r="N274" s="48"/>
    </row>
    <row r="275" spans="1:14" ht="13.5" customHeight="1">
      <c r="A275" s="139"/>
      <c r="B275" s="188"/>
      <c r="C275" s="239"/>
      <c r="D275" s="234"/>
      <c r="E275" s="210"/>
      <c r="F275" s="192"/>
      <c r="G275" s="140" t="s">
        <v>136</v>
      </c>
      <c r="H275" s="139">
        <v>1</v>
      </c>
      <c r="I275" s="19">
        <v>7300000</v>
      </c>
      <c r="J275" s="19">
        <f t="shared" ref="J275:J283" si="28">I275*H275</f>
        <v>7300000</v>
      </c>
      <c r="K275" s="48"/>
      <c r="L275" s="48"/>
      <c r="M275" s="48"/>
      <c r="N275" s="48"/>
    </row>
    <row r="276" spans="1:14" ht="13.5" customHeight="1">
      <c r="A276" s="139"/>
      <c r="B276" s="188"/>
      <c r="C276" s="239"/>
      <c r="D276" s="234"/>
      <c r="E276" s="210"/>
      <c r="F276" s="140" t="s">
        <v>37</v>
      </c>
      <c r="G276" s="140" t="s">
        <v>307</v>
      </c>
      <c r="H276" s="139">
        <v>2</v>
      </c>
      <c r="I276" s="19">
        <v>1800000</v>
      </c>
      <c r="J276" s="19">
        <f t="shared" si="28"/>
        <v>3600000</v>
      </c>
      <c r="K276" s="48"/>
      <c r="L276" s="48"/>
      <c r="M276" s="48"/>
      <c r="N276" s="48"/>
    </row>
    <row r="277" spans="1:14" ht="13.5" customHeight="1">
      <c r="A277" s="139"/>
      <c r="B277" s="188"/>
      <c r="C277" s="237"/>
      <c r="D277" s="235"/>
      <c r="E277" s="198"/>
      <c r="F277" s="140" t="s">
        <v>35</v>
      </c>
      <c r="G277" s="140" t="s">
        <v>139</v>
      </c>
      <c r="H277" s="139">
        <v>1</v>
      </c>
      <c r="I277" s="19">
        <v>6900000</v>
      </c>
      <c r="J277" s="19">
        <f t="shared" si="28"/>
        <v>6900000</v>
      </c>
      <c r="K277" s="48"/>
      <c r="L277" s="48"/>
      <c r="M277" s="48"/>
      <c r="N277" s="48"/>
    </row>
    <row r="278" spans="1:14" ht="13.5" customHeight="1">
      <c r="A278" s="139"/>
      <c r="B278" s="188"/>
      <c r="C278" s="236" t="s">
        <v>60</v>
      </c>
      <c r="D278" s="233" t="s">
        <v>308</v>
      </c>
      <c r="E278" s="197">
        <v>44448</v>
      </c>
      <c r="F278" s="140" t="s">
        <v>309</v>
      </c>
      <c r="G278" s="140"/>
      <c r="H278" s="139">
        <v>2</v>
      </c>
      <c r="I278" s="19">
        <v>2800000</v>
      </c>
      <c r="J278" s="19">
        <f t="shared" si="28"/>
        <v>5600000</v>
      </c>
      <c r="K278" s="48"/>
      <c r="L278" s="48"/>
      <c r="M278" s="48"/>
      <c r="N278" s="48"/>
    </row>
    <row r="279" spans="1:14" ht="13.5" customHeight="1">
      <c r="A279" s="139"/>
      <c r="B279" s="188"/>
      <c r="C279" s="239"/>
      <c r="D279" s="234"/>
      <c r="E279" s="210"/>
      <c r="F279" s="140" t="s">
        <v>62</v>
      </c>
      <c r="G279" s="140" t="s">
        <v>127</v>
      </c>
      <c r="H279" s="139">
        <v>1</v>
      </c>
      <c r="I279" s="19">
        <v>300000</v>
      </c>
      <c r="J279" s="19">
        <f t="shared" si="28"/>
        <v>300000</v>
      </c>
      <c r="K279" s="48"/>
      <c r="L279" s="48"/>
      <c r="M279" s="48"/>
      <c r="N279" s="48"/>
    </row>
    <row r="280" spans="1:14" ht="13.5" customHeight="1">
      <c r="A280" s="139"/>
      <c r="B280" s="188"/>
      <c r="C280" s="239"/>
      <c r="D280" s="234"/>
      <c r="E280" s="210"/>
      <c r="F280" s="140" t="s">
        <v>67</v>
      </c>
      <c r="G280" s="140"/>
      <c r="H280" s="139">
        <v>1</v>
      </c>
      <c r="I280" s="19">
        <v>2000000</v>
      </c>
      <c r="J280" s="19">
        <f t="shared" si="28"/>
        <v>2000000</v>
      </c>
      <c r="K280" s="48"/>
      <c r="L280" s="48"/>
      <c r="M280" s="48"/>
      <c r="N280" s="48"/>
    </row>
    <row r="281" spans="1:14" ht="13.5" customHeight="1">
      <c r="A281" s="139"/>
      <c r="B281" s="188"/>
      <c r="C281" s="239"/>
      <c r="D281" s="234"/>
      <c r="E281" s="210"/>
      <c r="F281" s="140" t="s">
        <v>276</v>
      </c>
      <c r="G281" s="140"/>
      <c r="H281" s="139">
        <v>1</v>
      </c>
      <c r="I281" s="19">
        <v>700000</v>
      </c>
      <c r="J281" s="19">
        <f t="shared" si="28"/>
        <v>700000</v>
      </c>
      <c r="K281" s="48"/>
      <c r="L281" s="48"/>
      <c r="M281" s="48"/>
      <c r="N281" s="48"/>
    </row>
    <row r="282" spans="1:14" ht="13.5" customHeight="1">
      <c r="A282" s="139"/>
      <c r="B282" s="188"/>
      <c r="C282" s="239"/>
      <c r="D282" s="234"/>
      <c r="E282" s="210"/>
      <c r="F282" s="140" t="s">
        <v>146</v>
      </c>
      <c r="G282" s="140" t="s">
        <v>242</v>
      </c>
      <c r="H282" s="139">
        <v>2</v>
      </c>
      <c r="I282" s="19">
        <v>2000000</v>
      </c>
      <c r="J282" s="19">
        <f t="shared" si="28"/>
        <v>4000000</v>
      </c>
      <c r="K282" s="48"/>
      <c r="L282" s="48"/>
      <c r="M282" s="48"/>
      <c r="N282" s="48"/>
    </row>
    <row r="283" spans="1:14" ht="13.5" customHeight="1">
      <c r="A283" s="139"/>
      <c r="B283" s="188"/>
      <c r="C283" s="239"/>
      <c r="D283" s="234"/>
      <c r="E283" s="210"/>
      <c r="F283" s="140" t="s">
        <v>148</v>
      </c>
      <c r="G283" s="140"/>
      <c r="H283" s="139">
        <v>2</v>
      </c>
      <c r="I283" s="19">
        <v>600000</v>
      </c>
      <c r="J283" s="19">
        <f t="shared" si="28"/>
        <v>1200000</v>
      </c>
      <c r="K283" s="48"/>
      <c r="L283" s="48"/>
      <c r="M283" s="48"/>
      <c r="N283" s="48"/>
    </row>
    <row r="284" spans="1:14" ht="13.5" customHeight="1">
      <c r="A284" s="139"/>
      <c r="B284" s="188"/>
      <c r="C284" s="237"/>
      <c r="D284" s="235"/>
      <c r="E284" s="198"/>
      <c r="F284" s="140" t="s">
        <v>54</v>
      </c>
      <c r="G284" s="140" t="s">
        <v>70</v>
      </c>
      <c r="H284" s="139">
        <v>1</v>
      </c>
      <c r="I284" s="19">
        <v>8000000</v>
      </c>
      <c r="J284" s="19">
        <v>8000000</v>
      </c>
      <c r="K284" s="48"/>
      <c r="L284" s="48"/>
      <c r="M284" s="48"/>
      <c r="N284" s="48"/>
    </row>
    <row r="285" spans="1:14" ht="13.5" customHeight="1">
      <c r="A285" s="139"/>
      <c r="B285" s="188"/>
      <c r="C285" s="236" t="s">
        <v>78</v>
      </c>
      <c r="D285" s="233" t="s">
        <v>310</v>
      </c>
      <c r="E285" s="197">
        <v>44358</v>
      </c>
      <c r="F285" s="140" t="s">
        <v>42</v>
      </c>
      <c r="G285" s="140"/>
      <c r="H285" s="139">
        <v>4</v>
      </c>
      <c r="I285" s="19">
        <f>8668000/4</f>
        <v>2167000</v>
      </c>
      <c r="J285" s="20">
        <f t="shared" ref="J285:J287" si="29">I285*H285</f>
        <v>8668000</v>
      </c>
      <c r="K285" s="48"/>
      <c r="L285" s="48"/>
      <c r="M285" s="48"/>
      <c r="N285" s="48"/>
    </row>
    <row r="286" spans="1:14" ht="13.5" customHeight="1">
      <c r="A286" s="139"/>
      <c r="B286" s="188"/>
      <c r="C286" s="239"/>
      <c r="D286" s="234"/>
      <c r="E286" s="210"/>
      <c r="F286" s="140" t="s">
        <v>151</v>
      </c>
      <c r="G286" s="140"/>
      <c r="H286" s="139">
        <v>1</v>
      </c>
      <c r="I286" s="19">
        <v>4895000</v>
      </c>
      <c r="J286" s="20">
        <f t="shared" si="29"/>
        <v>4895000</v>
      </c>
      <c r="K286" s="48"/>
      <c r="L286" s="48"/>
      <c r="M286" s="48"/>
      <c r="N286" s="48"/>
    </row>
    <row r="287" spans="1:14" ht="13.5" customHeight="1">
      <c r="A287" s="139"/>
      <c r="B287" s="188"/>
      <c r="C287" s="239"/>
      <c r="D287" s="234"/>
      <c r="E287" s="210"/>
      <c r="F287" s="140" t="s">
        <v>46</v>
      </c>
      <c r="G287" s="140"/>
      <c r="H287" s="139">
        <v>4</v>
      </c>
      <c r="I287" s="19">
        <v>1980000</v>
      </c>
      <c r="J287" s="20">
        <f t="shared" si="29"/>
        <v>7920000</v>
      </c>
      <c r="K287" s="48"/>
      <c r="L287" s="48"/>
      <c r="M287" s="48"/>
      <c r="N287" s="48"/>
    </row>
    <row r="288" spans="1:14" ht="13.5" customHeight="1">
      <c r="A288" s="139"/>
      <c r="B288" s="188"/>
      <c r="C288" s="239"/>
      <c r="D288" s="234"/>
      <c r="E288" s="210"/>
      <c r="F288" s="140" t="s">
        <v>152</v>
      </c>
      <c r="G288" s="140" t="s">
        <v>82</v>
      </c>
      <c r="H288" s="139">
        <v>75</v>
      </c>
      <c r="I288" s="19">
        <v>143000</v>
      </c>
      <c r="J288" s="19">
        <f>I288*H288</f>
        <v>10725000</v>
      </c>
      <c r="K288" s="48"/>
      <c r="L288" s="48"/>
      <c r="M288" s="48"/>
      <c r="N288" s="48"/>
    </row>
    <row r="289" spans="1:14" ht="13.5" customHeight="1">
      <c r="A289" s="139"/>
      <c r="B289" s="188"/>
      <c r="C289" s="239"/>
      <c r="D289" s="234"/>
      <c r="E289" s="210"/>
      <c r="F289" s="140" t="s">
        <v>153</v>
      </c>
      <c r="G289" s="140" t="s">
        <v>311</v>
      </c>
      <c r="H289" s="139">
        <v>1</v>
      </c>
      <c r="I289" s="19">
        <f>6000000-192000</f>
        <v>5808000</v>
      </c>
      <c r="J289" s="19">
        <f>I289*H289</f>
        <v>5808000</v>
      </c>
      <c r="K289" s="48"/>
      <c r="L289" s="48"/>
      <c r="M289" s="48"/>
      <c r="N289" s="48"/>
    </row>
    <row r="290" spans="1:14" ht="13.5" customHeight="1">
      <c r="A290" s="139"/>
      <c r="B290" s="188"/>
      <c r="C290" s="239"/>
      <c r="D290" s="234"/>
      <c r="E290" s="210"/>
      <c r="F290" s="140" t="s">
        <v>85</v>
      </c>
      <c r="G290" s="140" t="s">
        <v>86</v>
      </c>
      <c r="H290" s="139">
        <v>2</v>
      </c>
      <c r="I290" s="19">
        <v>3300000</v>
      </c>
      <c r="J290" s="19">
        <f>H290*I290</f>
        <v>6600000</v>
      </c>
      <c r="K290" s="48"/>
      <c r="L290" s="48"/>
      <c r="M290" s="48"/>
      <c r="N290" s="48"/>
    </row>
    <row r="291" spans="1:14" ht="13.5" customHeight="1">
      <c r="A291" s="139"/>
      <c r="B291" s="188"/>
      <c r="C291" s="239"/>
      <c r="D291" s="234"/>
      <c r="E291" s="210"/>
      <c r="F291" s="196" t="s">
        <v>87</v>
      </c>
      <c r="G291" s="118" t="s">
        <v>88</v>
      </c>
      <c r="H291" s="120">
        <v>2</v>
      </c>
      <c r="I291" s="20">
        <f>3450000+450000</f>
        <v>3900000</v>
      </c>
      <c r="J291" s="20">
        <f>I291*H291</f>
        <v>7800000</v>
      </c>
      <c r="K291" s="48"/>
      <c r="L291" s="48"/>
      <c r="M291" s="48"/>
      <c r="N291" s="48"/>
    </row>
    <row r="292" spans="1:14" ht="13.5" customHeight="1">
      <c r="A292" s="139"/>
      <c r="B292" s="188"/>
      <c r="C292" s="239"/>
      <c r="D292" s="234"/>
      <c r="E292" s="210"/>
      <c r="F292" s="196"/>
      <c r="G292" s="118" t="s">
        <v>89</v>
      </c>
      <c r="H292" s="120">
        <v>2</v>
      </c>
      <c r="I292" s="20">
        <v>3450000</v>
      </c>
      <c r="J292" s="20">
        <f t="shared" ref="J292" si="30">I292*H292</f>
        <v>6900000</v>
      </c>
      <c r="K292" s="48"/>
      <c r="L292" s="48"/>
      <c r="M292" s="48"/>
      <c r="N292" s="48"/>
    </row>
    <row r="293" spans="1:14" ht="13.5" customHeight="1">
      <c r="A293" s="139"/>
      <c r="B293" s="188"/>
      <c r="C293" s="237"/>
      <c r="D293" s="235"/>
      <c r="E293" s="198"/>
      <c r="F293" s="118" t="s">
        <v>90</v>
      </c>
      <c r="G293" s="118" t="s">
        <v>91</v>
      </c>
      <c r="H293" s="120">
        <v>2</v>
      </c>
      <c r="I293" s="20">
        <f>4933000/2</f>
        <v>2466500</v>
      </c>
      <c r="J293" s="20">
        <f>I293*H293</f>
        <v>4933000</v>
      </c>
      <c r="K293" s="48"/>
      <c r="L293" s="48"/>
      <c r="M293" s="48"/>
      <c r="N293" s="48"/>
    </row>
    <row r="294" spans="1:14" ht="13.5" customHeight="1">
      <c r="A294" s="139"/>
      <c r="B294" s="188"/>
      <c r="C294" s="236" t="s">
        <v>78</v>
      </c>
      <c r="D294" s="233" t="s">
        <v>312</v>
      </c>
      <c r="E294" s="197">
        <v>44327</v>
      </c>
      <c r="F294" s="140" t="s">
        <v>94</v>
      </c>
      <c r="G294" s="140"/>
      <c r="H294" s="139">
        <v>1</v>
      </c>
      <c r="I294" s="19">
        <v>3164260</v>
      </c>
      <c r="J294" s="20">
        <f t="shared" ref="J294:J296" si="31">I294*H294</f>
        <v>3164260</v>
      </c>
      <c r="K294" s="48"/>
      <c r="L294" s="48"/>
      <c r="M294" s="48"/>
      <c r="N294" s="48"/>
    </row>
    <row r="295" spans="1:14" ht="13.5" customHeight="1">
      <c r="A295" s="139"/>
      <c r="B295" s="188"/>
      <c r="C295" s="237"/>
      <c r="D295" s="235"/>
      <c r="E295" s="198"/>
      <c r="F295" s="140" t="s">
        <v>96</v>
      </c>
      <c r="G295" s="140" t="s">
        <v>97</v>
      </c>
      <c r="H295" s="139">
        <v>1</v>
      </c>
      <c r="I295" s="19">
        <v>6889850</v>
      </c>
      <c r="J295" s="20">
        <f t="shared" si="31"/>
        <v>6889850</v>
      </c>
      <c r="K295" s="48"/>
      <c r="L295" s="48"/>
      <c r="M295" s="48"/>
      <c r="N295" s="48"/>
    </row>
    <row r="296" spans="1:14" ht="13.5" customHeight="1">
      <c r="A296" s="139"/>
      <c r="B296" s="188"/>
      <c r="C296" s="140" t="s">
        <v>78</v>
      </c>
      <c r="D296" s="165" t="s">
        <v>313</v>
      </c>
      <c r="E296" s="157">
        <v>44327</v>
      </c>
      <c r="F296" s="140" t="s">
        <v>30</v>
      </c>
      <c r="G296" s="140"/>
      <c r="H296" s="139">
        <v>2</v>
      </c>
      <c r="I296" s="19">
        <f>4974950+300000</f>
        <v>5274950</v>
      </c>
      <c r="J296" s="19">
        <f t="shared" si="31"/>
        <v>10549900</v>
      </c>
      <c r="K296" s="48"/>
      <c r="L296" s="48"/>
      <c r="M296" s="48"/>
      <c r="N296" s="48"/>
    </row>
    <row r="297" spans="1:14" ht="13.5" customHeight="1">
      <c r="A297" s="139"/>
      <c r="B297" s="188"/>
      <c r="C297" s="118" t="s">
        <v>104</v>
      </c>
      <c r="D297" s="131"/>
      <c r="E297" s="118"/>
      <c r="F297" s="118" t="s">
        <v>105</v>
      </c>
      <c r="G297" s="118" t="s">
        <v>106</v>
      </c>
      <c r="H297" s="120">
        <v>1</v>
      </c>
      <c r="I297" s="20">
        <v>3500000</v>
      </c>
      <c r="J297" s="20">
        <f t="shared" ref="J297:J298" si="32">I297</f>
        <v>3500000</v>
      </c>
      <c r="K297" s="48"/>
      <c r="L297" s="48"/>
      <c r="M297" s="48"/>
      <c r="N297" s="48"/>
    </row>
    <row r="298" spans="1:14" ht="13.5" customHeight="1">
      <c r="A298" s="139"/>
      <c r="B298" s="188"/>
      <c r="C298" s="118" t="s">
        <v>109</v>
      </c>
      <c r="D298" s="131"/>
      <c r="E298" s="118"/>
      <c r="F298" s="118" t="s">
        <v>107</v>
      </c>
      <c r="G298" s="118"/>
      <c r="H298" s="120">
        <v>1</v>
      </c>
      <c r="I298" s="20">
        <v>995000</v>
      </c>
      <c r="J298" s="20">
        <f t="shared" si="32"/>
        <v>995000</v>
      </c>
      <c r="K298" s="48"/>
      <c r="L298" s="48"/>
      <c r="M298" s="48"/>
      <c r="N298" s="48"/>
    </row>
    <row r="299" spans="1:14" ht="13.5" customHeight="1">
      <c r="A299" s="139"/>
      <c r="B299" s="188"/>
      <c r="C299" s="118" t="s">
        <v>110</v>
      </c>
      <c r="D299" s="131"/>
      <c r="E299" s="118"/>
      <c r="F299" s="118" t="s">
        <v>108</v>
      </c>
      <c r="G299" s="118"/>
      <c r="H299" s="120">
        <v>2</v>
      </c>
      <c r="I299" s="20">
        <v>600000</v>
      </c>
      <c r="J299" s="20">
        <f>I299*H299</f>
        <v>1200000</v>
      </c>
      <c r="K299" s="48"/>
      <c r="L299" s="48"/>
      <c r="M299" s="48"/>
      <c r="N299" s="48"/>
    </row>
    <row r="300" spans="1:14" ht="13.5" customHeight="1">
      <c r="A300" s="139"/>
      <c r="B300" s="188"/>
      <c r="C300" s="118"/>
      <c r="D300" s="131"/>
      <c r="E300" s="118"/>
      <c r="F300" s="118" t="s">
        <v>170</v>
      </c>
      <c r="G300" s="118" t="s">
        <v>255</v>
      </c>
      <c r="H300" s="120">
        <v>1</v>
      </c>
      <c r="I300" s="20">
        <v>5000000</v>
      </c>
      <c r="J300" s="20">
        <f>I300*H300</f>
        <v>5000000</v>
      </c>
      <c r="K300" s="48"/>
      <c r="L300" s="48"/>
      <c r="M300" s="48"/>
      <c r="N300" s="48"/>
    </row>
    <row r="301" spans="1:14" ht="13.5" customHeight="1">
      <c r="A301" s="139"/>
      <c r="B301" s="188"/>
      <c r="C301" s="140" t="s">
        <v>316</v>
      </c>
      <c r="D301" s="159"/>
      <c r="E301" s="140"/>
      <c r="F301" s="140" t="s">
        <v>317</v>
      </c>
      <c r="G301" s="140"/>
      <c r="H301" s="139">
        <v>1</v>
      </c>
      <c r="I301" s="19">
        <v>13550000</v>
      </c>
      <c r="J301" s="19">
        <f>I301</f>
        <v>13550000</v>
      </c>
      <c r="K301" s="48"/>
      <c r="L301" s="48"/>
      <c r="M301" s="48"/>
      <c r="N301" s="48"/>
    </row>
    <row r="302" spans="1:14" ht="13.5" customHeight="1">
      <c r="A302" s="139"/>
      <c r="B302" s="188"/>
      <c r="C302" s="190" t="s">
        <v>314</v>
      </c>
      <c r="D302" s="159"/>
      <c r="E302" s="140"/>
      <c r="F302" s="140" t="s">
        <v>315</v>
      </c>
      <c r="G302" s="140"/>
      <c r="H302" s="139">
        <v>1</v>
      </c>
      <c r="I302" s="19">
        <f>79824054+3050000</f>
        <v>82874054</v>
      </c>
      <c r="J302" s="19">
        <f>I302*H302</f>
        <v>82874054</v>
      </c>
      <c r="K302" s="48"/>
      <c r="L302" s="48"/>
      <c r="M302" s="48"/>
      <c r="N302" s="48"/>
    </row>
    <row r="303" spans="1:14" ht="13.5" customHeight="1">
      <c r="A303" s="139"/>
      <c r="B303" s="188"/>
      <c r="C303" s="191"/>
      <c r="D303" s="159"/>
      <c r="E303" s="140"/>
      <c r="F303" s="140" t="s">
        <v>318</v>
      </c>
      <c r="G303" s="140"/>
      <c r="H303" s="139">
        <v>1</v>
      </c>
      <c r="I303" s="19">
        <f>65032973+3000000</f>
        <v>68032973</v>
      </c>
      <c r="J303" s="19">
        <f>I303</f>
        <v>68032973</v>
      </c>
      <c r="K303" s="48"/>
      <c r="L303" s="48"/>
      <c r="M303" s="48"/>
      <c r="N303" s="48"/>
    </row>
    <row r="304" spans="1:14" ht="13.5" customHeight="1">
      <c r="A304" s="139"/>
      <c r="B304" s="188"/>
      <c r="C304" s="191"/>
      <c r="D304" s="159"/>
      <c r="E304" s="140"/>
      <c r="F304" s="140" t="s">
        <v>319</v>
      </c>
      <c r="G304" s="140"/>
      <c r="H304" s="139">
        <v>1</v>
      </c>
      <c r="I304" s="19">
        <f>56300000+2600000</f>
        <v>58900000</v>
      </c>
      <c r="J304" s="19">
        <f>I304</f>
        <v>58900000</v>
      </c>
      <c r="K304" s="48"/>
      <c r="L304" s="48"/>
      <c r="M304" s="48"/>
      <c r="N304" s="48"/>
    </row>
    <row r="305" spans="1:15" ht="13.5" customHeight="1">
      <c r="A305" s="139"/>
      <c r="B305" s="188"/>
      <c r="C305" s="191"/>
      <c r="D305" s="159"/>
      <c r="E305" s="140"/>
      <c r="F305" s="140" t="s">
        <v>320</v>
      </c>
      <c r="G305" s="140"/>
      <c r="H305" s="139">
        <v>1</v>
      </c>
      <c r="I305" s="19">
        <f>56300000+2600000</f>
        <v>58900000</v>
      </c>
      <c r="J305" s="19">
        <f t="shared" ref="J305:J308" si="33">I305</f>
        <v>58900000</v>
      </c>
      <c r="K305" s="48"/>
      <c r="L305" s="48"/>
      <c r="M305" s="48"/>
      <c r="N305" s="48"/>
    </row>
    <row r="306" spans="1:15" ht="13.5" customHeight="1">
      <c r="A306" s="139"/>
      <c r="B306" s="188"/>
      <c r="C306" s="191"/>
      <c r="D306" s="159"/>
      <c r="E306" s="140"/>
      <c r="F306" s="140" t="s">
        <v>321</v>
      </c>
      <c r="G306" s="140"/>
      <c r="H306" s="139">
        <v>1</v>
      </c>
      <c r="I306" s="19">
        <f>56300000+2600000</f>
        <v>58900000</v>
      </c>
      <c r="J306" s="19">
        <f t="shared" si="33"/>
        <v>58900000</v>
      </c>
      <c r="K306" s="48"/>
      <c r="L306" s="48"/>
      <c r="M306" s="48"/>
      <c r="N306" s="48"/>
    </row>
    <row r="307" spans="1:15" ht="13.5" customHeight="1">
      <c r="A307" s="139"/>
      <c r="B307" s="188"/>
      <c r="C307" s="191"/>
      <c r="D307" s="159"/>
      <c r="E307" s="140"/>
      <c r="F307" s="140" t="s">
        <v>322</v>
      </c>
      <c r="G307" s="140"/>
      <c r="H307" s="139">
        <v>1</v>
      </c>
      <c r="I307" s="19">
        <f>58275000+3000000</f>
        <v>61275000</v>
      </c>
      <c r="J307" s="19">
        <f t="shared" si="33"/>
        <v>61275000</v>
      </c>
      <c r="K307" s="48"/>
      <c r="L307" s="48"/>
      <c r="M307" s="48"/>
      <c r="N307" s="48"/>
    </row>
    <row r="308" spans="1:15" ht="13.5" customHeight="1">
      <c r="A308" s="160"/>
      <c r="B308" s="189"/>
      <c r="C308" s="217"/>
      <c r="D308" s="161"/>
      <c r="E308" s="162"/>
      <c r="F308" s="162" t="s">
        <v>323</v>
      </c>
      <c r="G308" s="162"/>
      <c r="H308" s="160">
        <v>1</v>
      </c>
      <c r="I308" s="158">
        <f>69256657+3000000</f>
        <v>72256657</v>
      </c>
      <c r="J308" s="158">
        <f t="shared" si="33"/>
        <v>72256657</v>
      </c>
      <c r="K308" s="48"/>
      <c r="L308" s="48"/>
      <c r="M308" s="48"/>
      <c r="N308" s="48"/>
    </row>
    <row r="309" spans="1:15" s="40" customFormat="1" ht="13.5" customHeight="1">
      <c r="A309" s="135"/>
      <c r="B309" s="135"/>
      <c r="C309" s="136"/>
      <c r="D309" s="144"/>
      <c r="E309" s="136"/>
      <c r="F309" s="136"/>
      <c r="G309" s="136"/>
      <c r="H309" s="135"/>
      <c r="I309" s="138"/>
      <c r="J309" s="138">
        <f>SUM(J273:J308)</f>
        <v>636716694</v>
      </c>
      <c r="K309" s="48"/>
      <c r="L309" s="48"/>
      <c r="M309" s="48"/>
      <c r="N309" s="48"/>
      <c r="O309" s="178"/>
    </row>
    <row r="310" spans="1:15" ht="13.5" customHeight="1">
      <c r="A310" s="139"/>
      <c r="B310" s="187" t="s">
        <v>324</v>
      </c>
      <c r="C310" s="199" t="s">
        <v>9</v>
      </c>
      <c r="D310" s="199" t="s">
        <v>328</v>
      </c>
      <c r="E310" s="205">
        <v>44534</v>
      </c>
      <c r="F310" s="140" t="s">
        <v>73</v>
      </c>
      <c r="G310" s="140" t="s">
        <v>232</v>
      </c>
      <c r="H310" s="139">
        <v>1</v>
      </c>
      <c r="I310" s="19">
        <f>11580000+900000</f>
        <v>12480000</v>
      </c>
      <c r="J310" s="19">
        <f>I310*H310</f>
        <v>12480000</v>
      </c>
      <c r="K310" s="48"/>
      <c r="L310" s="48"/>
      <c r="M310" s="48"/>
      <c r="N310" s="48"/>
    </row>
    <row r="311" spans="1:15" ht="13.5" customHeight="1">
      <c r="A311" s="139"/>
      <c r="B311" s="188"/>
      <c r="C311" s="191"/>
      <c r="D311" s="191"/>
      <c r="E311" s="210"/>
      <c r="F311" s="190" t="s">
        <v>33</v>
      </c>
      <c r="G311" s="140" t="s">
        <v>325</v>
      </c>
      <c r="H311" s="139">
        <v>1</v>
      </c>
      <c r="I311" s="19">
        <v>8700000</v>
      </c>
      <c r="J311" s="19">
        <f>H311*I311</f>
        <v>8700000</v>
      </c>
      <c r="K311" s="48"/>
      <c r="L311" s="48"/>
      <c r="M311" s="48"/>
      <c r="N311" s="48"/>
    </row>
    <row r="312" spans="1:15" ht="13.5" customHeight="1">
      <c r="A312" s="139"/>
      <c r="B312" s="188"/>
      <c r="C312" s="191"/>
      <c r="D312" s="191"/>
      <c r="E312" s="210"/>
      <c r="F312" s="192"/>
      <c r="G312" s="140" t="s">
        <v>326</v>
      </c>
      <c r="H312" s="139">
        <v>1</v>
      </c>
      <c r="I312" s="19">
        <v>8950000</v>
      </c>
      <c r="J312" s="19">
        <f t="shared" ref="J312:J325" si="34">H312*I312</f>
        <v>8950000</v>
      </c>
      <c r="K312" s="48"/>
      <c r="L312" s="48"/>
      <c r="M312" s="48"/>
      <c r="N312" s="48"/>
    </row>
    <row r="313" spans="1:15" ht="13.5" customHeight="1">
      <c r="A313" s="139"/>
      <c r="B313" s="188"/>
      <c r="C313" s="191"/>
      <c r="D313" s="191"/>
      <c r="E313" s="210"/>
      <c r="F313" s="140" t="s">
        <v>37</v>
      </c>
      <c r="G313" s="140" t="s">
        <v>137</v>
      </c>
      <c r="H313" s="139">
        <v>2</v>
      </c>
      <c r="I313" s="19">
        <v>1800000</v>
      </c>
      <c r="J313" s="19">
        <f t="shared" si="34"/>
        <v>3600000</v>
      </c>
      <c r="K313" s="48"/>
      <c r="L313" s="48"/>
      <c r="M313" s="48"/>
      <c r="N313" s="48"/>
    </row>
    <row r="314" spans="1:15" ht="13.5" customHeight="1">
      <c r="A314" s="139"/>
      <c r="B314" s="188"/>
      <c r="C314" s="192"/>
      <c r="D314" s="192"/>
      <c r="E314" s="198"/>
      <c r="F314" s="140" t="s">
        <v>35</v>
      </c>
      <c r="G314" s="140" t="s">
        <v>139</v>
      </c>
      <c r="H314" s="139">
        <v>1</v>
      </c>
      <c r="I314" s="19">
        <v>6950000</v>
      </c>
      <c r="J314" s="19">
        <f t="shared" si="34"/>
        <v>6950000</v>
      </c>
      <c r="K314" s="48"/>
      <c r="L314" s="48"/>
      <c r="M314" s="48"/>
      <c r="N314" s="48"/>
    </row>
    <row r="315" spans="1:15" ht="13.5" customHeight="1">
      <c r="A315" s="139"/>
      <c r="B315" s="188"/>
      <c r="C315" s="196" t="s">
        <v>60</v>
      </c>
      <c r="D315" s="196" t="s">
        <v>327</v>
      </c>
      <c r="E315" s="244">
        <v>44478</v>
      </c>
      <c r="F315" s="140" t="s">
        <v>62</v>
      </c>
      <c r="G315" s="140" t="s">
        <v>127</v>
      </c>
      <c r="H315" s="139">
        <v>1</v>
      </c>
      <c r="I315" s="19">
        <v>300000</v>
      </c>
      <c r="J315" s="19">
        <f t="shared" si="34"/>
        <v>300000</v>
      </c>
      <c r="K315" s="48"/>
      <c r="L315" s="48"/>
      <c r="M315" s="48"/>
      <c r="N315" s="48"/>
    </row>
    <row r="316" spans="1:15" ht="13.5" customHeight="1">
      <c r="A316" s="139"/>
      <c r="B316" s="188"/>
      <c r="C316" s="196"/>
      <c r="D316" s="196"/>
      <c r="E316" s="244"/>
      <c r="F316" s="140" t="s">
        <v>128</v>
      </c>
      <c r="G316" s="140"/>
      <c r="H316" s="139">
        <v>1</v>
      </c>
      <c r="I316" s="19">
        <v>1200000</v>
      </c>
      <c r="J316" s="19">
        <f t="shared" si="34"/>
        <v>1200000</v>
      </c>
      <c r="K316" s="48"/>
      <c r="L316" s="48"/>
      <c r="M316" s="48"/>
      <c r="N316" s="48"/>
    </row>
    <row r="317" spans="1:15" ht="13.5" customHeight="1">
      <c r="A317" s="139"/>
      <c r="B317" s="188"/>
      <c r="C317" s="196"/>
      <c r="D317" s="196"/>
      <c r="E317" s="244"/>
      <c r="F317" s="140" t="s">
        <v>65</v>
      </c>
      <c r="G317" s="140"/>
      <c r="H317" s="139">
        <v>1</v>
      </c>
      <c r="I317" s="19">
        <v>700000</v>
      </c>
      <c r="J317" s="19">
        <f t="shared" si="34"/>
        <v>700000</v>
      </c>
      <c r="K317" s="48"/>
      <c r="L317" s="48"/>
      <c r="M317" s="48"/>
      <c r="N317" s="48"/>
    </row>
    <row r="318" spans="1:15" ht="13.5" customHeight="1">
      <c r="A318" s="139"/>
      <c r="B318" s="188"/>
      <c r="C318" s="196"/>
      <c r="D318" s="196"/>
      <c r="E318" s="244"/>
      <c r="F318" s="140" t="s">
        <v>130</v>
      </c>
      <c r="G318" s="140"/>
      <c r="H318" s="139">
        <v>1</v>
      </c>
      <c r="I318" s="19">
        <v>500000</v>
      </c>
      <c r="J318" s="19">
        <f t="shared" si="34"/>
        <v>500000</v>
      </c>
      <c r="K318" s="48"/>
      <c r="L318" s="48"/>
      <c r="M318" s="48"/>
      <c r="N318" s="48"/>
    </row>
    <row r="319" spans="1:15" ht="13.5" customHeight="1">
      <c r="A319" s="139"/>
      <c r="B319" s="188"/>
      <c r="C319" s="196"/>
      <c r="D319" s="196"/>
      <c r="E319" s="244"/>
      <c r="F319" s="140" t="s">
        <v>276</v>
      </c>
      <c r="G319" s="140"/>
      <c r="H319" s="139">
        <v>1</v>
      </c>
      <c r="I319" s="19">
        <v>700000</v>
      </c>
      <c r="J319" s="19">
        <f t="shared" si="34"/>
        <v>700000</v>
      </c>
      <c r="K319" s="48"/>
      <c r="L319" s="48"/>
      <c r="M319" s="48"/>
      <c r="N319" s="48"/>
    </row>
    <row r="320" spans="1:15" ht="13.5" customHeight="1">
      <c r="A320" s="139"/>
      <c r="B320" s="188"/>
      <c r="C320" s="196"/>
      <c r="D320" s="196"/>
      <c r="E320" s="244"/>
      <c r="F320" s="140" t="s">
        <v>148</v>
      </c>
      <c r="G320" s="140"/>
      <c r="H320" s="139">
        <v>2</v>
      </c>
      <c r="I320" s="19">
        <v>600000</v>
      </c>
      <c r="J320" s="19">
        <f t="shared" si="34"/>
        <v>1200000</v>
      </c>
      <c r="K320" s="48"/>
      <c r="L320" s="48"/>
      <c r="M320" s="48"/>
      <c r="N320" s="48"/>
    </row>
    <row r="321" spans="1:14" ht="13.5" customHeight="1">
      <c r="A321" s="139"/>
      <c r="B321" s="188"/>
      <c r="C321" s="118" t="s">
        <v>140</v>
      </c>
      <c r="D321" s="118" t="s">
        <v>329</v>
      </c>
      <c r="E321" s="148">
        <v>44462</v>
      </c>
      <c r="F321" s="140" t="s">
        <v>20</v>
      </c>
      <c r="G321" s="140" t="s">
        <v>221</v>
      </c>
      <c r="H321" s="139">
        <v>1</v>
      </c>
      <c r="I321" s="19">
        <f>80646000+900000</f>
        <v>81546000</v>
      </c>
      <c r="J321" s="19">
        <f t="shared" si="34"/>
        <v>81546000</v>
      </c>
      <c r="K321" s="48"/>
      <c r="L321" s="48"/>
      <c r="M321" s="48"/>
      <c r="N321" s="48"/>
    </row>
    <row r="322" spans="1:14" ht="13.5" customHeight="1">
      <c r="A322" s="139"/>
      <c r="B322" s="188"/>
      <c r="C322" s="196" t="s">
        <v>78</v>
      </c>
      <c r="D322" s="196" t="s">
        <v>330</v>
      </c>
      <c r="E322" s="244">
        <v>44358</v>
      </c>
      <c r="F322" s="140" t="s">
        <v>289</v>
      </c>
      <c r="G322" s="140"/>
      <c r="H322" s="139">
        <v>4</v>
      </c>
      <c r="I322" s="19">
        <v>2117500</v>
      </c>
      <c r="J322" s="19">
        <f t="shared" si="34"/>
        <v>8470000</v>
      </c>
      <c r="K322" s="48"/>
      <c r="L322" s="48"/>
      <c r="M322" s="48"/>
      <c r="N322" s="48"/>
    </row>
    <row r="323" spans="1:14" ht="13.5" customHeight="1">
      <c r="A323" s="139"/>
      <c r="B323" s="188"/>
      <c r="C323" s="196"/>
      <c r="D323" s="196"/>
      <c r="E323" s="244"/>
      <c r="F323" s="140" t="s">
        <v>151</v>
      </c>
      <c r="G323" s="140"/>
      <c r="H323" s="139">
        <v>1</v>
      </c>
      <c r="I323" s="19">
        <v>4675000</v>
      </c>
      <c r="J323" s="19">
        <f t="shared" si="34"/>
        <v>4675000</v>
      </c>
      <c r="K323" s="48"/>
      <c r="L323" s="48"/>
      <c r="M323" s="48"/>
      <c r="N323" s="48"/>
    </row>
    <row r="324" spans="1:14" ht="13.5" customHeight="1">
      <c r="A324" s="139"/>
      <c r="B324" s="188"/>
      <c r="C324" s="196"/>
      <c r="D324" s="196"/>
      <c r="E324" s="244"/>
      <c r="F324" s="140" t="s">
        <v>290</v>
      </c>
      <c r="G324" s="140"/>
      <c r="H324" s="139">
        <v>4</v>
      </c>
      <c r="I324" s="19">
        <v>1947000</v>
      </c>
      <c r="J324" s="19">
        <f t="shared" si="34"/>
        <v>7788000</v>
      </c>
      <c r="K324" s="48"/>
      <c r="L324" s="48"/>
      <c r="M324" s="48"/>
      <c r="N324" s="48"/>
    </row>
    <row r="325" spans="1:14" ht="13.5" customHeight="1">
      <c r="A325" s="139"/>
      <c r="B325" s="188"/>
      <c r="C325" s="196"/>
      <c r="D325" s="196"/>
      <c r="E325" s="244"/>
      <c r="F325" s="140" t="s">
        <v>152</v>
      </c>
      <c r="G325" s="140" t="s">
        <v>82</v>
      </c>
      <c r="H325" s="139">
        <v>50</v>
      </c>
      <c r="I325" s="19">
        <v>143000</v>
      </c>
      <c r="J325" s="19">
        <f t="shared" si="34"/>
        <v>7150000</v>
      </c>
      <c r="K325" s="48"/>
      <c r="L325" s="48"/>
      <c r="M325" s="48"/>
      <c r="N325" s="48"/>
    </row>
    <row r="326" spans="1:14" ht="13.5" customHeight="1">
      <c r="A326" s="139"/>
      <c r="B326" s="188"/>
      <c r="C326" s="196"/>
      <c r="D326" s="196"/>
      <c r="E326" s="244"/>
      <c r="F326" s="140" t="s">
        <v>331</v>
      </c>
      <c r="G326" s="140" t="s">
        <v>311</v>
      </c>
      <c r="H326" s="139">
        <v>1</v>
      </c>
      <c r="I326" s="19">
        <v>6000000</v>
      </c>
      <c r="J326" s="19">
        <v>5800000</v>
      </c>
      <c r="K326" s="48"/>
      <c r="L326" s="48"/>
      <c r="M326" s="48"/>
      <c r="N326" s="48"/>
    </row>
    <row r="327" spans="1:14" ht="13.5" customHeight="1">
      <c r="A327" s="139"/>
      <c r="B327" s="188"/>
      <c r="C327" s="196"/>
      <c r="D327" s="196"/>
      <c r="E327" s="244"/>
      <c r="F327" s="140" t="s">
        <v>292</v>
      </c>
      <c r="G327" s="140" t="s">
        <v>86</v>
      </c>
      <c r="H327" s="139">
        <v>1</v>
      </c>
      <c r="I327" s="19">
        <v>3500000</v>
      </c>
      <c r="J327" s="19">
        <v>3374000</v>
      </c>
      <c r="K327" s="48"/>
      <c r="L327" s="48"/>
      <c r="M327" s="48"/>
      <c r="N327" s="48"/>
    </row>
    <row r="328" spans="1:14" ht="13.5" customHeight="1">
      <c r="A328" s="139"/>
      <c r="B328" s="188"/>
      <c r="C328" s="196"/>
      <c r="D328" s="196"/>
      <c r="E328" s="244"/>
      <c r="F328" s="196" t="s">
        <v>87</v>
      </c>
      <c r="G328" s="118" t="s">
        <v>88</v>
      </c>
      <c r="H328" s="120">
        <v>2</v>
      </c>
      <c r="I328" s="20">
        <f>3450000+450000</f>
        <v>3900000</v>
      </c>
      <c r="J328" s="20">
        <f>I328*H328</f>
        <v>7800000</v>
      </c>
      <c r="K328" s="48"/>
      <c r="L328" s="48"/>
      <c r="M328" s="48"/>
      <c r="N328" s="48"/>
    </row>
    <row r="329" spans="1:14" ht="13.5" customHeight="1">
      <c r="A329" s="139"/>
      <c r="B329" s="188"/>
      <c r="C329" s="196"/>
      <c r="D329" s="196"/>
      <c r="E329" s="244"/>
      <c r="F329" s="196"/>
      <c r="G329" s="118" t="s">
        <v>89</v>
      </c>
      <c r="H329" s="120">
        <v>2</v>
      </c>
      <c r="I329" s="20">
        <v>3450000</v>
      </c>
      <c r="J329" s="20">
        <f t="shared" ref="J329" si="35">I329*H329</f>
        <v>6900000</v>
      </c>
      <c r="K329" s="48"/>
      <c r="L329" s="48"/>
      <c r="M329" s="48"/>
      <c r="N329" s="48"/>
    </row>
    <row r="330" spans="1:14" ht="13.5" customHeight="1">
      <c r="A330" s="139"/>
      <c r="B330" s="188"/>
      <c r="C330" s="196"/>
      <c r="D330" s="196"/>
      <c r="E330" s="244"/>
      <c r="F330" s="118" t="s">
        <v>90</v>
      </c>
      <c r="G330" s="118" t="s">
        <v>91</v>
      </c>
      <c r="H330" s="120">
        <v>2</v>
      </c>
      <c r="I330" s="20">
        <f>4966000/2</f>
        <v>2483000</v>
      </c>
      <c r="J330" s="20">
        <f>I330*H330</f>
        <v>4966000</v>
      </c>
      <c r="K330" s="48"/>
      <c r="L330" s="48"/>
      <c r="M330" s="48"/>
      <c r="N330" s="48"/>
    </row>
    <row r="331" spans="1:14" ht="13.5" customHeight="1">
      <c r="A331" s="139"/>
      <c r="B331" s="188"/>
      <c r="C331" s="196" t="s">
        <v>78</v>
      </c>
      <c r="D331" s="196" t="s">
        <v>332</v>
      </c>
      <c r="E331" s="244">
        <v>44358</v>
      </c>
      <c r="F331" s="140" t="s">
        <v>94</v>
      </c>
      <c r="G331" s="140"/>
      <c r="H331" s="139">
        <v>1</v>
      </c>
      <c r="I331" s="19">
        <v>4846050</v>
      </c>
      <c r="J331" s="19">
        <f>I331</f>
        <v>4846050</v>
      </c>
      <c r="K331" s="48"/>
      <c r="L331" s="48"/>
      <c r="M331" s="48"/>
      <c r="N331" s="48"/>
    </row>
    <row r="332" spans="1:14" ht="13.5" customHeight="1">
      <c r="A332" s="139"/>
      <c r="B332" s="188"/>
      <c r="C332" s="196"/>
      <c r="D332" s="196"/>
      <c r="E332" s="244"/>
      <c r="F332" s="140" t="s">
        <v>96</v>
      </c>
      <c r="G332" s="140" t="s">
        <v>97</v>
      </c>
      <c r="H332" s="139">
        <v>1</v>
      </c>
      <c r="I332" s="19">
        <v>6889850</v>
      </c>
      <c r="J332" s="19">
        <f>I332</f>
        <v>6889850</v>
      </c>
      <c r="K332" s="48"/>
      <c r="L332" s="48"/>
      <c r="M332" s="48"/>
      <c r="N332" s="48"/>
    </row>
    <row r="333" spans="1:14" ht="13.5" customHeight="1">
      <c r="A333" s="139"/>
      <c r="B333" s="188"/>
      <c r="C333" s="118" t="s">
        <v>78</v>
      </c>
      <c r="D333" s="118" t="s">
        <v>333</v>
      </c>
      <c r="E333" s="118"/>
      <c r="F333" s="140" t="s">
        <v>30</v>
      </c>
      <c r="G333" s="140"/>
      <c r="H333" s="139">
        <v>2</v>
      </c>
      <c r="I333" s="19">
        <f>(9949900/2)+300000</f>
        <v>5274950</v>
      </c>
      <c r="J333" s="19">
        <f>I333*H333</f>
        <v>10549900</v>
      </c>
      <c r="K333" s="48"/>
      <c r="L333" s="48"/>
      <c r="M333" s="48"/>
      <c r="N333" s="48"/>
    </row>
    <row r="334" spans="1:14" ht="13.5" customHeight="1">
      <c r="A334" s="139"/>
      <c r="B334" s="188"/>
      <c r="C334" s="118"/>
      <c r="D334" s="131"/>
      <c r="E334" s="118"/>
      <c r="F334" s="140" t="s">
        <v>280</v>
      </c>
      <c r="G334" s="140" t="s">
        <v>70</v>
      </c>
      <c r="H334" s="139">
        <v>1</v>
      </c>
      <c r="I334" s="19">
        <v>8000000</v>
      </c>
      <c r="J334" s="19">
        <f>I334</f>
        <v>8000000</v>
      </c>
      <c r="K334" s="48"/>
      <c r="L334" s="48"/>
      <c r="M334" s="48"/>
      <c r="N334" s="48"/>
    </row>
    <row r="335" spans="1:14" ht="13.5" customHeight="1">
      <c r="A335" s="139"/>
      <c r="B335" s="188"/>
      <c r="C335" s="118"/>
      <c r="D335" s="131"/>
      <c r="E335" s="118"/>
      <c r="F335" s="140" t="s">
        <v>159</v>
      </c>
      <c r="G335" s="140"/>
      <c r="H335" s="139">
        <v>1</v>
      </c>
      <c r="I335" s="19">
        <v>5340000</v>
      </c>
      <c r="J335" s="19">
        <f>I335</f>
        <v>5340000</v>
      </c>
      <c r="K335" s="48"/>
      <c r="L335" s="48"/>
      <c r="M335" s="48"/>
      <c r="N335" s="48"/>
    </row>
    <row r="336" spans="1:14" ht="13.5" customHeight="1">
      <c r="A336" s="139"/>
      <c r="B336" s="188"/>
      <c r="C336" s="118" t="s">
        <v>104</v>
      </c>
      <c r="D336" s="131"/>
      <c r="E336" s="118"/>
      <c r="F336" s="118" t="s">
        <v>105</v>
      </c>
      <c r="G336" s="118" t="s">
        <v>106</v>
      </c>
      <c r="H336" s="120">
        <v>1</v>
      </c>
      <c r="I336" s="20">
        <v>3500000</v>
      </c>
      <c r="J336" s="20">
        <f t="shared" ref="J336:J337" si="36">I336</f>
        <v>3500000</v>
      </c>
      <c r="K336" s="48"/>
      <c r="L336" s="48"/>
      <c r="M336" s="48"/>
      <c r="N336" s="48"/>
    </row>
    <row r="337" spans="1:15" ht="13.5" customHeight="1">
      <c r="A337" s="139"/>
      <c r="B337" s="188"/>
      <c r="C337" s="118" t="s">
        <v>109</v>
      </c>
      <c r="D337" s="131"/>
      <c r="E337" s="118"/>
      <c r="F337" s="118" t="s">
        <v>107</v>
      </c>
      <c r="G337" s="118"/>
      <c r="H337" s="120">
        <v>1</v>
      </c>
      <c r="I337" s="20">
        <v>995000</v>
      </c>
      <c r="J337" s="20">
        <f t="shared" si="36"/>
        <v>995000</v>
      </c>
      <c r="K337" s="48"/>
      <c r="L337" s="48"/>
      <c r="M337" s="48"/>
      <c r="N337" s="48"/>
    </row>
    <row r="338" spans="1:15" ht="13.5" customHeight="1">
      <c r="A338" s="139"/>
      <c r="B338" s="188"/>
      <c r="C338" s="118" t="s">
        <v>110</v>
      </c>
      <c r="D338" s="131"/>
      <c r="E338" s="118"/>
      <c r="F338" s="118" t="s">
        <v>108</v>
      </c>
      <c r="G338" s="118"/>
      <c r="H338" s="120">
        <v>2</v>
      </c>
      <c r="I338" s="20">
        <v>600000</v>
      </c>
      <c r="J338" s="20">
        <f>I338*H338</f>
        <v>1200000</v>
      </c>
      <c r="K338" s="48"/>
      <c r="L338" s="48"/>
      <c r="M338" s="48"/>
      <c r="N338" s="48"/>
    </row>
    <row r="339" spans="1:15" ht="13.5" customHeight="1">
      <c r="A339" s="139"/>
      <c r="B339" s="188"/>
      <c r="C339" s="118"/>
      <c r="D339" s="131"/>
      <c r="E339" s="118"/>
      <c r="F339" s="118" t="s">
        <v>170</v>
      </c>
      <c r="G339" s="118" t="s">
        <v>255</v>
      </c>
      <c r="H339" s="120">
        <v>1</v>
      </c>
      <c r="I339" s="20">
        <v>5000000</v>
      </c>
      <c r="J339" s="20">
        <f>I339*H339</f>
        <v>5000000</v>
      </c>
      <c r="K339" s="48"/>
      <c r="L339" s="48"/>
      <c r="M339" s="48"/>
      <c r="N339" s="48"/>
    </row>
    <row r="340" spans="1:15" ht="13.5" customHeight="1">
      <c r="A340" s="139"/>
      <c r="B340" s="188"/>
      <c r="C340" s="190" t="s">
        <v>200</v>
      </c>
      <c r="D340" s="159"/>
      <c r="E340" s="140"/>
      <c r="F340" s="140" t="s">
        <v>334</v>
      </c>
      <c r="G340" s="140"/>
      <c r="H340" s="139">
        <v>1</v>
      </c>
      <c r="I340" s="19">
        <f>51300000+2725000</f>
        <v>54025000</v>
      </c>
      <c r="J340" s="19">
        <f>I340</f>
        <v>54025000</v>
      </c>
      <c r="K340" s="48"/>
      <c r="L340" s="48"/>
      <c r="M340" s="48"/>
      <c r="N340" s="48"/>
    </row>
    <row r="341" spans="1:15" ht="13.5" customHeight="1">
      <c r="A341" s="139"/>
      <c r="B341" s="188"/>
      <c r="C341" s="191"/>
      <c r="D341" s="159"/>
      <c r="E341" s="140"/>
      <c r="F341" s="140" t="s">
        <v>335</v>
      </c>
      <c r="G341" s="140"/>
      <c r="H341" s="139">
        <v>1</v>
      </c>
      <c r="I341" s="19">
        <f>42124900+2725000</f>
        <v>44849900</v>
      </c>
      <c r="J341" s="19">
        <f t="shared" ref="J341:J347" si="37">I341</f>
        <v>44849900</v>
      </c>
      <c r="K341" s="48"/>
      <c r="L341" s="48"/>
      <c r="M341" s="48"/>
      <c r="N341" s="48"/>
    </row>
    <row r="342" spans="1:15" ht="13.5" customHeight="1">
      <c r="A342" s="139"/>
      <c r="B342" s="188"/>
      <c r="C342" s="191"/>
      <c r="D342" s="159"/>
      <c r="E342" s="140"/>
      <c r="F342" s="140" t="s">
        <v>336</v>
      </c>
      <c r="G342" s="140"/>
      <c r="H342" s="139">
        <v>1</v>
      </c>
      <c r="I342" s="19">
        <f>44000000+3000000</f>
        <v>47000000</v>
      </c>
      <c r="J342" s="19">
        <f t="shared" si="37"/>
        <v>47000000</v>
      </c>
      <c r="K342" s="48"/>
      <c r="L342" s="48"/>
      <c r="M342" s="48"/>
      <c r="N342" s="48"/>
    </row>
    <row r="343" spans="1:15" ht="13.5" customHeight="1">
      <c r="A343" s="139"/>
      <c r="B343" s="188"/>
      <c r="C343" s="191"/>
      <c r="D343" s="159"/>
      <c r="E343" s="140"/>
      <c r="F343" s="140" t="s">
        <v>337</v>
      </c>
      <c r="G343" s="140"/>
      <c r="H343" s="139">
        <v>1</v>
      </c>
      <c r="I343" s="19">
        <f>88000000+3000000</f>
        <v>91000000</v>
      </c>
      <c r="J343" s="19">
        <f t="shared" si="37"/>
        <v>91000000</v>
      </c>
      <c r="K343" s="48"/>
      <c r="L343" s="48"/>
      <c r="M343" s="48"/>
      <c r="N343" s="48"/>
    </row>
    <row r="344" spans="1:15" ht="13.5" customHeight="1">
      <c r="A344" s="139"/>
      <c r="B344" s="188"/>
      <c r="C344" s="191"/>
      <c r="D344" s="159"/>
      <c r="E344" s="140"/>
      <c r="F344" s="140" t="s">
        <v>338</v>
      </c>
      <c r="G344" s="140"/>
      <c r="H344" s="139">
        <v>1</v>
      </c>
      <c r="I344" s="19">
        <f>44000000+3000000</f>
        <v>47000000</v>
      </c>
      <c r="J344" s="19">
        <f t="shared" si="37"/>
        <v>47000000</v>
      </c>
      <c r="K344" s="48"/>
      <c r="L344" s="48"/>
      <c r="M344" s="48"/>
      <c r="N344" s="48"/>
    </row>
    <row r="345" spans="1:15" ht="13.5" customHeight="1">
      <c r="A345" s="139"/>
      <c r="B345" s="188"/>
      <c r="C345" s="191"/>
      <c r="D345" s="159"/>
      <c r="E345" s="140"/>
      <c r="F345" s="140" t="s">
        <v>339</v>
      </c>
      <c r="G345" s="140"/>
      <c r="H345" s="139">
        <v>1</v>
      </c>
      <c r="I345" s="19">
        <f>48000000+3000000</f>
        <v>51000000</v>
      </c>
      <c r="J345" s="19">
        <f t="shared" si="37"/>
        <v>51000000</v>
      </c>
      <c r="K345" s="48"/>
      <c r="L345" s="48"/>
      <c r="M345" s="48"/>
      <c r="N345" s="48"/>
    </row>
    <row r="346" spans="1:15" ht="13.5" customHeight="1">
      <c r="A346" s="139"/>
      <c r="B346" s="188"/>
      <c r="C346" s="191"/>
      <c r="D346" s="159"/>
      <c r="E346" s="140"/>
      <c r="F346" s="140" t="s">
        <v>340</v>
      </c>
      <c r="G346" s="140"/>
      <c r="H346" s="139">
        <v>1</v>
      </c>
      <c r="I346" s="19">
        <f>48000000+3000000</f>
        <v>51000000</v>
      </c>
      <c r="J346" s="19">
        <f t="shared" si="37"/>
        <v>51000000</v>
      </c>
      <c r="K346" s="48"/>
      <c r="L346" s="48"/>
      <c r="M346" s="48"/>
      <c r="N346" s="48"/>
    </row>
    <row r="347" spans="1:15" ht="13.5" customHeight="1">
      <c r="A347" s="160"/>
      <c r="B347" s="189"/>
      <c r="C347" s="217"/>
      <c r="D347" s="161"/>
      <c r="E347" s="162"/>
      <c r="F347" s="162" t="s">
        <v>341</v>
      </c>
      <c r="G347" s="162"/>
      <c r="H347" s="160">
        <v>1</v>
      </c>
      <c r="I347" s="158">
        <f>15896657+3000000</f>
        <v>18896657</v>
      </c>
      <c r="J347" s="19">
        <f t="shared" si="37"/>
        <v>18896657</v>
      </c>
      <c r="K347" s="48"/>
      <c r="L347" s="48"/>
      <c r="M347" s="48"/>
      <c r="N347" s="48"/>
    </row>
    <row r="348" spans="1:15" s="40" customFormat="1" ht="13.5" customHeight="1">
      <c r="A348" s="135"/>
      <c r="B348" s="135"/>
      <c r="C348" s="136"/>
      <c r="D348" s="144"/>
      <c r="E348" s="136"/>
      <c r="F348" s="136"/>
      <c r="G348" s="136"/>
      <c r="H348" s="135"/>
      <c r="I348" s="138"/>
      <c r="J348" s="138">
        <f>SUM(J310:J347)</f>
        <v>634841357</v>
      </c>
      <c r="K348" s="48"/>
      <c r="L348" s="48"/>
      <c r="M348" s="48"/>
      <c r="N348" s="48"/>
      <c r="O348" s="178"/>
    </row>
    <row r="349" spans="1:15" ht="13.5" customHeight="1">
      <c r="A349" s="139"/>
      <c r="B349" s="223" t="s">
        <v>342</v>
      </c>
      <c r="C349" s="245" t="s">
        <v>343</v>
      </c>
      <c r="D349" s="245" t="s">
        <v>344</v>
      </c>
      <c r="E349" s="205">
        <v>44525</v>
      </c>
      <c r="F349" s="140" t="s">
        <v>73</v>
      </c>
      <c r="G349" s="140" t="s">
        <v>232</v>
      </c>
      <c r="H349" s="139">
        <v>2</v>
      </c>
      <c r="I349" s="19">
        <f>11600000+450000</f>
        <v>12050000</v>
      </c>
      <c r="J349" s="19">
        <f>I349*H349</f>
        <v>24100000</v>
      </c>
      <c r="K349" s="48"/>
      <c r="L349" s="48"/>
      <c r="M349" s="48"/>
      <c r="N349" s="48"/>
    </row>
    <row r="350" spans="1:15" ht="13.5" customHeight="1">
      <c r="A350" s="139"/>
      <c r="B350" s="224"/>
      <c r="C350" s="196"/>
      <c r="D350" s="196"/>
      <c r="E350" s="210"/>
      <c r="F350" s="190" t="s">
        <v>33</v>
      </c>
      <c r="G350" s="140" t="s">
        <v>345</v>
      </c>
      <c r="H350" s="139">
        <v>1</v>
      </c>
      <c r="I350" s="19">
        <v>7450000</v>
      </c>
      <c r="J350" s="19">
        <f>I350*H350</f>
        <v>7450000</v>
      </c>
      <c r="K350" s="48"/>
      <c r="L350" s="48"/>
      <c r="M350" s="48"/>
      <c r="N350" s="48"/>
    </row>
    <row r="351" spans="1:15" ht="13.5" customHeight="1">
      <c r="A351" s="139"/>
      <c r="B351" s="224"/>
      <c r="C351" s="196"/>
      <c r="D351" s="196"/>
      <c r="E351" s="210"/>
      <c r="F351" s="192"/>
      <c r="G351" s="140" t="s">
        <v>136</v>
      </c>
      <c r="H351" s="139">
        <v>1</v>
      </c>
      <c r="I351" s="19">
        <v>7300000</v>
      </c>
      <c r="J351" s="19">
        <f t="shared" ref="J351:J357" si="38">I351*H351</f>
        <v>7300000</v>
      </c>
      <c r="K351" s="48"/>
      <c r="L351" s="48"/>
      <c r="M351" s="48"/>
      <c r="N351" s="48"/>
    </row>
    <row r="352" spans="1:15" ht="13.5" customHeight="1">
      <c r="A352" s="139"/>
      <c r="B352" s="224"/>
      <c r="C352" s="196"/>
      <c r="D352" s="196"/>
      <c r="E352" s="210"/>
      <c r="F352" s="140" t="s">
        <v>37</v>
      </c>
      <c r="G352" s="140" t="s">
        <v>307</v>
      </c>
      <c r="H352" s="139">
        <v>2</v>
      </c>
      <c r="I352" s="19">
        <v>1800000</v>
      </c>
      <c r="J352" s="19">
        <f t="shared" si="38"/>
        <v>3600000</v>
      </c>
      <c r="K352" s="48"/>
      <c r="L352" s="48"/>
      <c r="M352" s="48"/>
      <c r="N352" s="48"/>
    </row>
    <row r="353" spans="1:14" ht="13.5" customHeight="1">
      <c r="A353" s="139"/>
      <c r="B353" s="224"/>
      <c r="C353" s="196"/>
      <c r="D353" s="196"/>
      <c r="E353" s="198"/>
      <c r="F353" s="140" t="s">
        <v>35</v>
      </c>
      <c r="G353" s="140" t="s">
        <v>346</v>
      </c>
      <c r="H353" s="139">
        <v>1</v>
      </c>
      <c r="I353" s="19">
        <v>6950000</v>
      </c>
      <c r="J353" s="19">
        <f t="shared" si="38"/>
        <v>6950000</v>
      </c>
      <c r="K353" s="48"/>
      <c r="L353" s="48"/>
      <c r="M353" s="48"/>
      <c r="N353" s="48"/>
    </row>
    <row r="354" spans="1:14" ht="13.5" customHeight="1">
      <c r="A354" s="139"/>
      <c r="B354" s="224"/>
      <c r="C354" s="118" t="s">
        <v>348</v>
      </c>
      <c r="D354" s="118" t="s">
        <v>347</v>
      </c>
      <c r="E354" s="157">
        <v>44478</v>
      </c>
      <c r="F354" s="140" t="s">
        <v>170</v>
      </c>
      <c r="G354" s="140" t="s">
        <v>171</v>
      </c>
      <c r="H354" s="139">
        <v>1</v>
      </c>
      <c r="I354" s="19">
        <v>15042500</v>
      </c>
      <c r="J354" s="19">
        <f t="shared" si="38"/>
        <v>15042500</v>
      </c>
      <c r="K354" s="48"/>
      <c r="L354" s="48"/>
      <c r="M354" s="48"/>
      <c r="N354" s="48"/>
    </row>
    <row r="355" spans="1:14" ht="13.5" customHeight="1">
      <c r="A355" s="139"/>
      <c r="B355" s="224"/>
      <c r="C355" s="196" t="s">
        <v>348</v>
      </c>
      <c r="D355" s="196" t="s">
        <v>349</v>
      </c>
      <c r="E355" s="197">
        <v>44448</v>
      </c>
      <c r="F355" s="140" t="s">
        <v>350</v>
      </c>
      <c r="G355" s="140"/>
      <c r="H355" s="139">
        <v>1</v>
      </c>
      <c r="I355" s="19">
        <v>7340000</v>
      </c>
      <c r="J355" s="19">
        <f t="shared" si="38"/>
        <v>7340000</v>
      </c>
      <c r="K355" s="48"/>
      <c r="L355" s="48"/>
      <c r="M355" s="48"/>
      <c r="N355" s="48"/>
    </row>
    <row r="356" spans="1:14" ht="13.5" customHeight="1">
      <c r="A356" s="139"/>
      <c r="B356" s="224"/>
      <c r="C356" s="196"/>
      <c r="D356" s="196"/>
      <c r="E356" s="210"/>
      <c r="F356" s="140" t="s">
        <v>94</v>
      </c>
      <c r="G356" s="140"/>
      <c r="H356" s="139">
        <v>1</v>
      </c>
      <c r="I356" s="19">
        <v>5000000</v>
      </c>
      <c r="J356" s="19">
        <f t="shared" si="38"/>
        <v>5000000</v>
      </c>
      <c r="K356" s="48"/>
      <c r="L356" s="48"/>
      <c r="M356" s="48"/>
      <c r="N356" s="48"/>
    </row>
    <row r="357" spans="1:14" ht="13.5" customHeight="1">
      <c r="A357" s="139"/>
      <c r="B357" s="224"/>
      <c r="C357" s="196"/>
      <c r="D357" s="196"/>
      <c r="E357" s="210"/>
      <c r="F357" s="140" t="s">
        <v>62</v>
      </c>
      <c r="G357" s="140"/>
      <c r="H357" s="139">
        <v>1</v>
      </c>
      <c r="I357" s="19">
        <v>300000</v>
      </c>
      <c r="J357" s="19">
        <f t="shared" si="38"/>
        <v>300000</v>
      </c>
      <c r="K357" s="48"/>
      <c r="L357" s="48"/>
      <c r="M357" s="48"/>
      <c r="N357" s="48"/>
    </row>
    <row r="358" spans="1:14" ht="13.5" customHeight="1">
      <c r="A358" s="139"/>
      <c r="B358" s="224"/>
      <c r="C358" s="196"/>
      <c r="D358" s="196"/>
      <c r="E358" s="210"/>
      <c r="F358" s="140" t="s">
        <v>128</v>
      </c>
      <c r="G358" s="140"/>
      <c r="H358" s="139">
        <v>1</v>
      </c>
      <c r="I358" s="19">
        <v>1200000</v>
      </c>
      <c r="J358" s="19">
        <f t="shared" ref="J358:J360" si="39">H358*I358</f>
        <v>1200000</v>
      </c>
      <c r="K358" s="48"/>
      <c r="L358" s="48"/>
      <c r="M358" s="48"/>
      <c r="N358" s="48"/>
    </row>
    <row r="359" spans="1:14" ht="13.5" customHeight="1">
      <c r="A359" s="139"/>
      <c r="B359" s="224"/>
      <c r="C359" s="196"/>
      <c r="D359" s="196"/>
      <c r="E359" s="210"/>
      <c r="F359" s="140" t="s">
        <v>65</v>
      </c>
      <c r="G359" s="140"/>
      <c r="H359" s="139">
        <v>1</v>
      </c>
      <c r="I359" s="19">
        <v>700000</v>
      </c>
      <c r="J359" s="19">
        <f t="shared" si="39"/>
        <v>700000</v>
      </c>
      <c r="K359" s="48"/>
      <c r="L359" s="48"/>
      <c r="M359" s="48"/>
      <c r="N359" s="48"/>
    </row>
    <row r="360" spans="1:14" ht="13.5" customHeight="1">
      <c r="A360" s="139"/>
      <c r="B360" s="224"/>
      <c r="C360" s="196"/>
      <c r="D360" s="196"/>
      <c r="E360" s="210"/>
      <c r="F360" s="140" t="s">
        <v>130</v>
      </c>
      <c r="G360" s="140"/>
      <c r="H360" s="139">
        <v>1</v>
      </c>
      <c r="I360" s="19">
        <v>500000</v>
      </c>
      <c r="J360" s="19">
        <f t="shared" si="39"/>
        <v>500000</v>
      </c>
      <c r="K360" s="48"/>
      <c r="L360" s="48"/>
      <c r="M360" s="48"/>
      <c r="N360" s="48"/>
    </row>
    <row r="361" spans="1:14" ht="13.5" customHeight="1">
      <c r="A361" s="139"/>
      <c r="B361" s="224"/>
      <c r="C361" s="196"/>
      <c r="D361" s="196"/>
      <c r="E361" s="210"/>
      <c r="F361" s="140" t="s">
        <v>276</v>
      </c>
      <c r="G361" s="140"/>
      <c r="H361" s="139">
        <v>1</v>
      </c>
      <c r="I361" s="19">
        <v>700000</v>
      </c>
      <c r="J361" s="19">
        <f>I361*H361</f>
        <v>700000</v>
      </c>
      <c r="K361" s="48"/>
      <c r="L361" s="48"/>
      <c r="M361" s="48"/>
      <c r="N361" s="48"/>
    </row>
    <row r="362" spans="1:14" ht="13.5" customHeight="1">
      <c r="A362" s="139"/>
      <c r="B362" s="224"/>
      <c r="C362" s="196"/>
      <c r="D362" s="196"/>
      <c r="E362" s="210"/>
      <c r="F362" s="140" t="s">
        <v>277</v>
      </c>
      <c r="G362" s="140"/>
      <c r="H362" s="139">
        <v>1</v>
      </c>
      <c r="I362" s="19">
        <v>4000000</v>
      </c>
      <c r="J362" s="19">
        <v>3725000</v>
      </c>
      <c r="K362" s="48"/>
      <c r="L362" s="48"/>
      <c r="M362" s="48"/>
      <c r="N362" s="48"/>
    </row>
    <row r="363" spans="1:14" ht="13.5" customHeight="1">
      <c r="A363" s="139"/>
      <c r="B363" s="224"/>
      <c r="C363" s="196"/>
      <c r="D363" s="196"/>
      <c r="E363" s="210"/>
      <c r="F363" s="140" t="s">
        <v>146</v>
      </c>
      <c r="G363" s="140"/>
      <c r="H363" s="139">
        <v>1</v>
      </c>
      <c r="I363" s="19">
        <v>4000000</v>
      </c>
      <c r="J363" s="19">
        <v>2000000</v>
      </c>
      <c r="K363" s="48"/>
      <c r="L363" s="48"/>
      <c r="M363" s="48"/>
      <c r="N363" s="48"/>
    </row>
    <row r="364" spans="1:14" ht="13.5" customHeight="1">
      <c r="A364" s="139"/>
      <c r="B364" s="224"/>
      <c r="C364" s="196"/>
      <c r="D364" s="196"/>
      <c r="E364" s="210"/>
      <c r="F364" s="140" t="s">
        <v>148</v>
      </c>
      <c r="G364" s="140"/>
      <c r="H364" s="139">
        <v>2</v>
      </c>
      <c r="I364" s="19">
        <v>600000</v>
      </c>
      <c r="J364" s="19">
        <f t="shared" ref="J364" si="40">I364*H364</f>
        <v>1200000</v>
      </c>
      <c r="K364" s="48"/>
      <c r="L364" s="48"/>
      <c r="M364" s="48"/>
      <c r="N364" s="48"/>
    </row>
    <row r="365" spans="1:14" ht="13.5" customHeight="1">
      <c r="A365" s="139"/>
      <c r="B365" s="224"/>
      <c r="C365" s="196"/>
      <c r="D365" s="196"/>
      <c r="E365" s="198"/>
      <c r="F365" s="140" t="s">
        <v>54</v>
      </c>
      <c r="G365" s="140" t="s">
        <v>70</v>
      </c>
      <c r="H365" s="139">
        <v>1</v>
      </c>
      <c r="I365" s="19">
        <v>8000000</v>
      </c>
      <c r="J365" s="19">
        <f>I365</f>
        <v>8000000</v>
      </c>
      <c r="K365" s="48"/>
      <c r="L365" s="48"/>
      <c r="M365" s="48"/>
      <c r="N365" s="48"/>
    </row>
    <row r="366" spans="1:14" ht="13.5" customHeight="1">
      <c r="A366" s="139"/>
      <c r="B366" s="224"/>
      <c r="C366" s="118" t="s">
        <v>78</v>
      </c>
      <c r="D366" s="118" t="s">
        <v>351</v>
      </c>
      <c r="E366" s="157">
        <v>44358</v>
      </c>
      <c r="F366" s="140" t="s">
        <v>96</v>
      </c>
      <c r="G366" s="140" t="s">
        <v>97</v>
      </c>
      <c r="H366" s="139"/>
      <c r="I366" s="19">
        <v>6990500</v>
      </c>
      <c r="J366" s="19">
        <f>I366</f>
        <v>6990500</v>
      </c>
      <c r="K366" s="48"/>
      <c r="L366" s="48"/>
      <c r="M366" s="48"/>
      <c r="N366" s="48"/>
    </row>
    <row r="367" spans="1:14" ht="13.5" customHeight="1">
      <c r="A367" s="139"/>
      <c r="B367" s="224"/>
      <c r="C367" s="196" t="s">
        <v>248</v>
      </c>
      <c r="D367" s="196" t="s">
        <v>352</v>
      </c>
      <c r="E367" s="157">
        <v>44327</v>
      </c>
      <c r="F367" s="140" t="s">
        <v>42</v>
      </c>
      <c r="G367" s="140"/>
      <c r="H367" s="139">
        <v>4</v>
      </c>
      <c r="I367" s="19">
        <v>2145000</v>
      </c>
      <c r="J367" s="19">
        <f>I367*H367</f>
        <v>8580000</v>
      </c>
      <c r="K367" s="48"/>
      <c r="L367" s="48"/>
      <c r="M367" s="48"/>
      <c r="N367" s="48"/>
    </row>
    <row r="368" spans="1:14" ht="13.5" customHeight="1">
      <c r="A368" s="139"/>
      <c r="B368" s="224"/>
      <c r="C368" s="196"/>
      <c r="D368" s="196"/>
      <c r="E368" s="140"/>
      <c r="F368" s="140" t="s">
        <v>151</v>
      </c>
      <c r="G368" s="140"/>
      <c r="H368" s="139">
        <v>1</v>
      </c>
      <c r="I368" s="19">
        <v>4520500</v>
      </c>
      <c r="J368" s="19">
        <f t="shared" ref="J368:J372" si="41">I368*H368</f>
        <v>4520500</v>
      </c>
      <c r="K368" s="48"/>
      <c r="L368" s="48"/>
      <c r="M368" s="48"/>
      <c r="N368" s="48"/>
    </row>
    <row r="369" spans="1:14" ht="13.5" customHeight="1">
      <c r="A369" s="139"/>
      <c r="B369" s="224"/>
      <c r="C369" s="196"/>
      <c r="D369" s="196"/>
      <c r="E369" s="140"/>
      <c r="F369" s="140" t="s">
        <v>46</v>
      </c>
      <c r="G369" s="140"/>
      <c r="H369" s="139">
        <v>4</v>
      </c>
      <c r="I369" s="19">
        <f>7964000/4</f>
        <v>1991000</v>
      </c>
      <c r="J369" s="19">
        <f t="shared" si="41"/>
        <v>7964000</v>
      </c>
      <c r="K369" s="48"/>
      <c r="L369" s="48"/>
      <c r="M369" s="48"/>
      <c r="N369" s="48"/>
    </row>
    <row r="370" spans="1:14" ht="13.5" customHeight="1">
      <c r="A370" s="139"/>
      <c r="B370" s="224"/>
      <c r="C370" s="196"/>
      <c r="D370" s="196"/>
      <c r="E370" s="140"/>
      <c r="F370" s="140" t="s">
        <v>152</v>
      </c>
      <c r="G370" s="140"/>
      <c r="H370" s="139">
        <v>75</v>
      </c>
      <c r="I370" s="19">
        <f>9900000/75</f>
        <v>132000</v>
      </c>
      <c r="J370" s="19">
        <f t="shared" si="41"/>
        <v>9900000</v>
      </c>
      <c r="K370" s="48"/>
      <c r="L370" s="48"/>
      <c r="M370" s="48"/>
      <c r="N370" s="48"/>
    </row>
    <row r="371" spans="1:14" ht="13.5" customHeight="1">
      <c r="A371" s="139"/>
      <c r="B371" s="224"/>
      <c r="C371" s="196"/>
      <c r="D371" s="196"/>
      <c r="E371" s="140"/>
      <c r="F371" s="140" t="s">
        <v>153</v>
      </c>
      <c r="G371" s="140"/>
      <c r="H371" s="139">
        <v>1</v>
      </c>
      <c r="I371" s="19">
        <v>5900000</v>
      </c>
      <c r="J371" s="19">
        <f t="shared" si="41"/>
        <v>5900000</v>
      </c>
      <c r="K371" s="48"/>
      <c r="L371" s="48"/>
      <c r="M371" s="48"/>
      <c r="N371" s="48"/>
    </row>
    <row r="372" spans="1:14" ht="13.5" customHeight="1">
      <c r="A372" s="139"/>
      <c r="B372" s="224"/>
      <c r="C372" s="196"/>
      <c r="D372" s="196"/>
      <c r="E372" s="140"/>
      <c r="F372" s="140" t="s">
        <v>85</v>
      </c>
      <c r="G372" s="140" t="s">
        <v>86</v>
      </c>
      <c r="H372" s="139">
        <v>1</v>
      </c>
      <c r="I372" s="19">
        <v>3460500</v>
      </c>
      <c r="J372" s="19">
        <f t="shared" si="41"/>
        <v>3460500</v>
      </c>
      <c r="K372" s="48"/>
      <c r="L372" s="48"/>
      <c r="M372" s="48"/>
      <c r="N372" s="48"/>
    </row>
    <row r="373" spans="1:14" ht="13.5" customHeight="1">
      <c r="A373" s="139"/>
      <c r="B373" s="224"/>
      <c r="C373" s="196"/>
      <c r="D373" s="196"/>
      <c r="E373" s="140"/>
      <c r="F373" s="196" t="s">
        <v>87</v>
      </c>
      <c r="G373" s="118" t="s">
        <v>88</v>
      </c>
      <c r="H373" s="120">
        <v>2</v>
      </c>
      <c r="I373" s="20">
        <f>3450000+450000</f>
        <v>3900000</v>
      </c>
      <c r="J373" s="20">
        <f>I373*H373</f>
        <v>7800000</v>
      </c>
      <c r="K373" s="48"/>
      <c r="L373" s="48"/>
      <c r="M373" s="48"/>
      <c r="N373" s="48"/>
    </row>
    <row r="374" spans="1:14" ht="13.5" customHeight="1">
      <c r="A374" s="139"/>
      <c r="B374" s="224"/>
      <c r="C374" s="196"/>
      <c r="D374" s="196"/>
      <c r="E374" s="140"/>
      <c r="F374" s="196"/>
      <c r="G374" s="118" t="s">
        <v>89</v>
      </c>
      <c r="H374" s="120">
        <v>2</v>
      </c>
      <c r="I374" s="20">
        <v>3450000</v>
      </c>
      <c r="J374" s="20">
        <f t="shared" ref="J374" si="42">I374*H374</f>
        <v>6900000</v>
      </c>
      <c r="K374" s="48"/>
      <c r="L374" s="48"/>
      <c r="M374" s="48"/>
      <c r="N374" s="48"/>
    </row>
    <row r="375" spans="1:14" ht="13.5" customHeight="1">
      <c r="A375" s="139"/>
      <c r="B375" s="224"/>
      <c r="C375" s="196"/>
      <c r="D375" s="196"/>
      <c r="E375" s="140"/>
      <c r="F375" s="118" t="s">
        <v>90</v>
      </c>
      <c r="G375" s="118" t="s">
        <v>91</v>
      </c>
      <c r="H375" s="120">
        <v>2</v>
      </c>
      <c r="I375" s="20">
        <f>4745000/2</f>
        <v>2372500</v>
      </c>
      <c r="J375" s="20">
        <f>I375*H375</f>
        <v>4745000</v>
      </c>
      <c r="K375" s="48"/>
      <c r="L375" s="48"/>
      <c r="M375" s="48"/>
      <c r="N375" s="48"/>
    </row>
    <row r="376" spans="1:14" ht="13.5" customHeight="1">
      <c r="A376" s="139"/>
      <c r="B376" s="224"/>
      <c r="C376" s="196"/>
      <c r="D376" s="196"/>
      <c r="E376" s="140"/>
      <c r="F376" s="140" t="s">
        <v>170</v>
      </c>
      <c r="G376" s="140" t="s">
        <v>353</v>
      </c>
      <c r="H376" s="139">
        <v>1</v>
      </c>
      <c r="I376" s="19">
        <v>7049500</v>
      </c>
      <c r="J376" s="19">
        <f>I376</f>
        <v>7049500</v>
      </c>
      <c r="K376" s="48"/>
      <c r="L376" s="48"/>
      <c r="M376" s="48"/>
      <c r="N376" s="48"/>
    </row>
    <row r="377" spans="1:14" ht="13.5" customHeight="1">
      <c r="A377" s="139"/>
      <c r="B377" s="224"/>
      <c r="C377" s="118" t="s">
        <v>104</v>
      </c>
      <c r="D377" s="131"/>
      <c r="E377" s="118"/>
      <c r="F377" s="118" t="s">
        <v>105</v>
      </c>
      <c r="G377" s="118" t="s">
        <v>106</v>
      </c>
      <c r="H377" s="120">
        <v>1</v>
      </c>
      <c r="I377" s="20">
        <v>3500000</v>
      </c>
      <c r="J377" s="20">
        <f t="shared" ref="J377:J378" si="43">I377</f>
        <v>3500000</v>
      </c>
      <c r="K377" s="48"/>
      <c r="L377" s="48"/>
      <c r="M377" s="48"/>
      <c r="N377" s="48"/>
    </row>
    <row r="378" spans="1:14" ht="13.5" customHeight="1">
      <c r="A378" s="139"/>
      <c r="B378" s="224"/>
      <c r="C378" s="118" t="s">
        <v>109</v>
      </c>
      <c r="D378" s="131"/>
      <c r="E378" s="118"/>
      <c r="F378" s="118" t="s">
        <v>107</v>
      </c>
      <c r="G378" s="118"/>
      <c r="H378" s="120">
        <v>1</v>
      </c>
      <c r="I378" s="20">
        <v>995000</v>
      </c>
      <c r="J378" s="20">
        <f t="shared" si="43"/>
        <v>995000</v>
      </c>
      <c r="K378" s="48"/>
      <c r="L378" s="48"/>
      <c r="M378" s="48"/>
      <c r="N378" s="48"/>
    </row>
    <row r="379" spans="1:14" ht="13.5" customHeight="1">
      <c r="A379" s="139"/>
      <c r="B379" s="224"/>
      <c r="C379" s="118" t="s">
        <v>110</v>
      </c>
      <c r="D379" s="131"/>
      <c r="E379" s="118"/>
      <c r="F379" s="118" t="s">
        <v>108</v>
      </c>
      <c r="G379" s="118"/>
      <c r="H379" s="120">
        <v>2</v>
      </c>
      <c r="I379" s="20">
        <v>600000</v>
      </c>
      <c r="J379" s="20">
        <f>I379*H379</f>
        <v>1200000</v>
      </c>
      <c r="K379" s="48"/>
      <c r="L379" s="48"/>
      <c r="M379" s="48"/>
      <c r="N379" s="48"/>
    </row>
    <row r="380" spans="1:14" ht="13.5" customHeight="1">
      <c r="A380" s="139"/>
      <c r="B380" s="224"/>
      <c r="C380" s="118"/>
      <c r="D380" s="131"/>
      <c r="E380" s="118"/>
      <c r="F380" s="118" t="s">
        <v>170</v>
      </c>
      <c r="G380" s="118" t="s">
        <v>255</v>
      </c>
      <c r="H380" s="120">
        <v>1</v>
      </c>
      <c r="I380" s="20">
        <v>5000000</v>
      </c>
      <c r="J380" s="20">
        <f>I380*H380</f>
        <v>5000000</v>
      </c>
      <c r="K380" s="48"/>
      <c r="L380" s="48"/>
      <c r="M380" s="48"/>
      <c r="N380" s="48"/>
    </row>
    <row r="381" spans="1:14" ht="13.5" customHeight="1">
      <c r="A381" s="139"/>
      <c r="B381" s="224"/>
      <c r="C381" s="196" t="s">
        <v>348</v>
      </c>
      <c r="D381" s="231"/>
      <c r="E381" s="190"/>
      <c r="F381" s="140" t="s">
        <v>30</v>
      </c>
      <c r="G381" s="140"/>
      <c r="H381" s="139">
        <v>2</v>
      </c>
      <c r="I381" s="19">
        <f>5000000+425000</f>
        <v>5425000</v>
      </c>
      <c r="J381" s="19">
        <f>I381*H381</f>
        <v>10850000</v>
      </c>
      <c r="K381" s="48"/>
      <c r="L381" s="48"/>
      <c r="M381" s="48"/>
      <c r="N381" s="48"/>
    </row>
    <row r="382" spans="1:14" ht="13.5" customHeight="1">
      <c r="A382" s="139"/>
      <c r="B382" s="224"/>
      <c r="C382" s="196"/>
      <c r="D382" s="231"/>
      <c r="E382" s="192"/>
      <c r="F382" s="140" t="s">
        <v>355</v>
      </c>
      <c r="G382" s="140" t="s">
        <v>356</v>
      </c>
      <c r="H382" s="139">
        <v>1</v>
      </c>
      <c r="I382" s="19">
        <v>3500000</v>
      </c>
      <c r="J382" s="19">
        <f>I382</f>
        <v>3500000</v>
      </c>
      <c r="K382" s="48"/>
      <c r="L382" s="48"/>
      <c r="M382" s="48"/>
      <c r="N382" s="48"/>
    </row>
    <row r="383" spans="1:14" ht="13.5" customHeight="1">
      <c r="A383" s="139"/>
      <c r="B383" s="224"/>
      <c r="C383" s="196" t="s">
        <v>160</v>
      </c>
      <c r="D383" s="131"/>
      <c r="E383" s="140"/>
      <c r="F383" s="140" t="s">
        <v>354</v>
      </c>
      <c r="G383" s="140"/>
      <c r="H383" s="139">
        <v>1</v>
      </c>
      <c r="I383" s="19">
        <f>92564650+3700000</f>
        <v>96264650</v>
      </c>
      <c r="J383" s="19">
        <f>I383</f>
        <v>96264650</v>
      </c>
      <c r="K383" s="48"/>
      <c r="L383" s="48"/>
      <c r="M383" s="48"/>
      <c r="N383" s="48"/>
    </row>
    <row r="384" spans="1:14" ht="13.5" customHeight="1">
      <c r="A384" s="139"/>
      <c r="B384" s="224"/>
      <c r="C384" s="196"/>
      <c r="D384" s="131"/>
      <c r="E384" s="140"/>
      <c r="F384" s="140" t="s">
        <v>357</v>
      </c>
      <c r="G384" s="140"/>
      <c r="H384" s="139">
        <v>1</v>
      </c>
      <c r="I384" s="19">
        <f>58722657+3000000</f>
        <v>61722657</v>
      </c>
      <c r="J384" s="19">
        <f>I384</f>
        <v>61722657</v>
      </c>
      <c r="K384" s="48"/>
      <c r="L384" s="48"/>
      <c r="M384" s="48"/>
      <c r="N384" s="48"/>
    </row>
    <row r="385" spans="1:15" ht="13.5" customHeight="1">
      <c r="A385" s="139"/>
      <c r="B385" s="224"/>
      <c r="C385" s="196"/>
      <c r="D385" s="131"/>
      <c r="E385" s="140"/>
      <c r="F385" s="140" t="s">
        <v>358</v>
      </c>
      <c r="G385" s="140"/>
      <c r="H385" s="139">
        <v>1</v>
      </c>
      <c r="I385" s="19">
        <f>66190000+3000000</f>
        <v>69190000</v>
      </c>
      <c r="J385" s="19">
        <f t="shared" ref="J385:J387" si="44">I385</f>
        <v>69190000</v>
      </c>
      <c r="K385" s="48"/>
      <c r="L385" s="48"/>
      <c r="M385" s="48"/>
      <c r="N385" s="48"/>
    </row>
    <row r="386" spans="1:15" ht="13.5" customHeight="1">
      <c r="A386" s="120"/>
      <c r="B386" s="224"/>
      <c r="C386" s="196"/>
      <c r="D386" s="131"/>
      <c r="E386" s="118"/>
      <c r="F386" s="118" t="s">
        <v>359</v>
      </c>
      <c r="G386" s="118"/>
      <c r="H386" s="120">
        <v>1</v>
      </c>
      <c r="I386" s="20">
        <f>97395000+3000000</f>
        <v>100395000</v>
      </c>
      <c r="J386" s="19">
        <f t="shared" si="44"/>
        <v>100395000</v>
      </c>
      <c r="K386" s="48"/>
      <c r="L386" s="48"/>
      <c r="M386" s="48"/>
      <c r="N386" s="48"/>
    </row>
    <row r="387" spans="1:15" ht="13.5" customHeight="1">
      <c r="A387" s="132"/>
      <c r="B387" s="225"/>
      <c r="C387" s="230"/>
      <c r="D387" s="166"/>
      <c r="E387" s="133"/>
      <c r="F387" s="133" t="s">
        <v>360</v>
      </c>
      <c r="G387" s="133"/>
      <c r="H387" s="132">
        <v>1</v>
      </c>
      <c r="I387" s="54">
        <f>75924000+3000000</f>
        <v>78924000</v>
      </c>
      <c r="J387" s="158">
        <f t="shared" si="44"/>
        <v>78924000</v>
      </c>
      <c r="K387" s="48"/>
      <c r="L387" s="48"/>
      <c r="M387" s="48"/>
      <c r="N387" s="48"/>
    </row>
    <row r="388" spans="1:15" s="40" customFormat="1" ht="13.5" customHeight="1">
      <c r="A388" s="135"/>
      <c r="B388" s="135"/>
      <c r="C388" s="136"/>
      <c r="D388" s="144"/>
      <c r="E388" s="136"/>
      <c r="F388" s="136"/>
      <c r="G388" s="136"/>
      <c r="H388" s="135"/>
      <c r="I388" s="138"/>
      <c r="J388" s="138">
        <f>SUM(J349:J387)</f>
        <v>600458807</v>
      </c>
      <c r="K388" s="48"/>
      <c r="L388" s="48"/>
      <c r="M388" s="48"/>
      <c r="N388" s="48"/>
      <c r="O388" s="178"/>
    </row>
    <row r="389" spans="1:15" ht="13.5" customHeight="1">
      <c r="A389" s="120"/>
      <c r="B389" s="223" t="s">
        <v>124</v>
      </c>
      <c r="C389" s="245" t="s">
        <v>60</v>
      </c>
      <c r="D389" s="245" t="s">
        <v>125</v>
      </c>
      <c r="E389" s="205">
        <v>44547</v>
      </c>
      <c r="F389" s="118" t="s">
        <v>94</v>
      </c>
      <c r="G389" s="118"/>
      <c r="H389" s="120">
        <v>1</v>
      </c>
      <c r="I389" s="20">
        <v>5000000</v>
      </c>
      <c r="J389" s="20">
        <f>I389*H389</f>
        <v>5000000</v>
      </c>
      <c r="K389" s="48"/>
      <c r="L389" s="48"/>
      <c r="M389" s="48"/>
      <c r="N389" s="48"/>
    </row>
    <row r="390" spans="1:15" ht="13.5" customHeight="1">
      <c r="A390" s="120"/>
      <c r="B390" s="224"/>
      <c r="C390" s="196"/>
      <c r="D390" s="196"/>
      <c r="E390" s="210"/>
      <c r="F390" s="118" t="s">
        <v>126</v>
      </c>
      <c r="G390" s="118" t="s">
        <v>127</v>
      </c>
      <c r="H390" s="120">
        <v>1</v>
      </c>
      <c r="I390" s="20">
        <v>300000</v>
      </c>
      <c r="J390" s="20">
        <f t="shared" ref="J390:J399" si="45">I390*H390</f>
        <v>300000</v>
      </c>
      <c r="K390" s="48"/>
      <c r="L390" s="48"/>
      <c r="M390" s="48"/>
      <c r="N390" s="48"/>
    </row>
    <row r="391" spans="1:15" ht="13.5" customHeight="1">
      <c r="A391" s="120"/>
      <c r="B391" s="224"/>
      <c r="C391" s="196"/>
      <c r="D391" s="196"/>
      <c r="E391" s="210"/>
      <c r="F391" s="118" t="s">
        <v>128</v>
      </c>
      <c r="G391" s="118" t="s">
        <v>129</v>
      </c>
      <c r="H391" s="120">
        <v>1</v>
      </c>
      <c r="I391" s="20">
        <v>1200000</v>
      </c>
      <c r="J391" s="20">
        <f t="shared" si="45"/>
        <v>1200000</v>
      </c>
      <c r="K391" s="48"/>
      <c r="L391" s="48"/>
      <c r="M391" s="48"/>
      <c r="N391" s="48"/>
    </row>
    <row r="392" spans="1:15" ht="13.5" customHeight="1">
      <c r="A392" s="120"/>
      <c r="B392" s="224"/>
      <c r="C392" s="196"/>
      <c r="D392" s="196"/>
      <c r="E392" s="210"/>
      <c r="F392" s="118" t="s">
        <v>65</v>
      </c>
      <c r="G392" s="118"/>
      <c r="H392" s="120">
        <v>1</v>
      </c>
      <c r="I392" s="20">
        <v>700000</v>
      </c>
      <c r="J392" s="20">
        <f t="shared" si="45"/>
        <v>700000</v>
      </c>
      <c r="K392" s="48"/>
      <c r="L392" s="48"/>
      <c r="M392" s="48"/>
      <c r="N392" s="48"/>
    </row>
    <row r="393" spans="1:15" ht="13.5" customHeight="1">
      <c r="A393" s="120"/>
      <c r="B393" s="224"/>
      <c r="C393" s="196"/>
      <c r="D393" s="196"/>
      <c r="E393" s="210"/>
      <c r="F393" s="118" t="s">
        <v>130</v>
      </c>
      <c r="G393" s="145" t="s">
        <v>131</v>
      </c>
      <c r="H393" s="120">
        <v>1</v>
      </c>
      <c r="I393" s="20">
        <v>500000</v>
      </c>
      <c r="J393" s="20">
        <f t="shared" si="45"/>
        <v>500000</v>
      </c>
      <c r="K393" s="48"/>
      <c r="L393" s="48"/>
      <c r="M393" s="48"/>
      <c r="N393" s="48"/>
    </row>
    <row r="394" spans="1:15" ht="13.5" customHeight="1">
      <c r="A394" s="120"/>
      <c r="B394" s="224"/>
      <c r="C394" s="196"/>
      <c r="D394" s="196"/>
      <c r="E394" s="198"/>
      <c r="F394" s="118" t="s">
        <v>132</v>
      </c>
      <c r="G394" s="118"/>
      <c r="H394" s="120">
        <v>1</v>
      </c>
      <c r="I394" s="20">
        <v>700000</v>
      </c>
      <c r="J394" s="20">
        <f t="shared" si="45"/>
        <v>700000</v>
      </c>
      <c r="K394" s="48"/>
      <c r="L394" s="48"/>
      <c r="M394" s="48"/>
      <c r="N394" s="48"/>
    </row>
    <row r="395" spans="1:15" ht="13.5" customHeight="1">
      <c r="A395" s="120"/>
      <c r="B395" s="224"/>
      <c r="C395" s="196" t="s">
        <v>230</v>
      </c>
      <c r="D395" s="196" t="s">
        <v>362</v>
      </c>
      <c r="E395" s="197">
        <v>44525</v>
      </c>
      <c r="F395" s="118" t="s">
        <v>73</v>
      </c>
      <c r="G395" s="118" t="s">
        <v>361</v>
      </c>
      <c r="H395" s="120">
        <v>1</v>
      </c>
      <c r="I395" s="20">
        <f>9300000+900000</f>
        <v>10200000</v>
      </c>
      <c r="J395" s="20">
        <f t="shared" si="45"/>
        <v>10200000</v>
      </c>
      <c r="K395" s="48"/>
      <c r="L395" s="48"/>
      <c r="M395" s="48"/>
      <c r="N395" s="48"/>
    </row>
    <row r="396" spans="1:15" ht="13.5" customHeight="1">
      <c r="A396" s="120"/>
      <c r="B396" s="224"/>
      <c r="C396" s="196"/>
      <c r="D396" s="196"/>
      <c r="E396" s="210"/>
      <c r="F396" s="118" t="s">
        <v>33</v>
      </c>
      <c r="G396" s="118" t="s">
        <v>325</v>
      </c>
      <c r="H396" s="120">
        <v>1</v>
      </c>
      <c r="I396" s="20">
        <v>8700000</v>
      </c>
      <c r="J396" s="20">
        <f t="shared" si="45"/>
        <v>8700000</v>
      </c>
      <c r="K396" s="48"/>
      <c r="L396" s="48"/>
      <c r="M396" s="48"/>
      <c r="N396" s="48"/>
    </row>
    <row r="397" spans="1:15" ht="13.5" customHeight="1">
      <c r="A397" s="120"/>
      <c r="B397" s="224"/>
      <c r="C397" s="196"/>
      <c r="D397" s="196"/>
      <c r="E397" s="210"/>
      <c r="F397" s="118" t="s">
        <v>35</v>
      </c>
      <c r="G397" s="118" t="s">
        <v>211</v>
      </c>
      <c r="H397" s="120">
        <v>1</v>
      </c>
      <c r="I397" s="20">
        <v>6930000</v>
      </c>
      <c r="J397" s="20">
        <f t="shared" si="45"/>
        <v>6930000</v>
      </c>
      <c r="K397" s="48"/>
      <c r="L397" s="48"/>
      <c r="M397" s="48"/>
      <c r="N397" s="48"/>
    </row>
    <row r="398" spans="1:15" ht="13.5" customHeight="1">
      <c r="A398" s="120"/>
      <c r="B398" s="224"/>
      <c r="C398" s="196"/>
      <c r="D398" s="196"/>
      <c r="E398" s="198"/>
      <c r="F398" s="118" t="s">
        <v>37</v>
      </c>
      <c r="G398" s="118" t="s">
        <v>210</v>
      </c>
      <c r="H398" s="120">
        <v>2</v>
      </c>
      <c r="I398" s="20">
        <v>1820000</v>
      </c>
      <c r="J398" s="20">
        <f t="shared" si="45"/>
        <v>3640000</v>
      </c>
      <c r="K398" s="48"/>
      <c r="L398" s="48"/>
      <c r="M398" s="48"/>
      <c r="N398" s="48"/>
    </row>
    <row r="399" spans="1:15" ht="13.5" customHeight="1">
      <c r="A399" s="120"/>
      <c r="B399" s="224"/>
      <c r="C399" s="118" t="s">
        <v>78</v>
      </c>
      <c r="D399" s="118" t="s">
        <v>363</v>
      </c>
      <c r="E399" s="148">
        <v>44358</v>
      </c>
      <c r="F399" s="118" t="s">
        <v>96</v>
      </c>
      <c r="G399" s="118" t="s">
        <v>97</v>
      </c>
      <c r="H399" s="120">
        <v>1</v>
      </c>
      <c r="I399" s="20">
        <v>6990500</v>
      </c>
      <c r="J399" s="20">
        <f t="shared" si="45"/>
        <v>6990500</v>
      </c>
      <c r="K399" s="48"/>
      <c r="L399" s="48"/>
      <c r="M399" s="48"/>
      <c r="N399" s="48"/>
    </row>
    <row r="400" spans="1:15" ht="13.5" customHeight="1">
      <c r="A400" s="120"/>
      <c r="B400" s="224"/>
      <c r="C400" s="196" t="s">
        <v>248</v>
      </c>
      <c r="D400" s="196" t="s">
        <v>364</v>
      </c>
      <c r="E400" s="197">
        <v>44327</v>
      </c>
      <c r="F400" s="190" t="s">
        <v>289</v>
      </c>
      <c r="G400" s="118"/>
      <c r="H400" s="120">
        <v>2</v>
      </c>
      <c r="I400" s="20">
        <v>2084000</v>
      </c>
      <c r="J400" s="20">
        <f>I400*H400</f>
        <v>4168000</v>
      </c>
      <c r="K400" s="48"/>
      <c r="L400" s="48"/>
      <c r="M400" s="48"/>
      <c r="N400" s="48"/>
    </row>
    <row r="401" spans="1:14" ht="13.5" customHeight="1">
      <c r="A401" s="120"/>
      <c r="B401" s="224"/>
      <c r="C401" s="196"/>
      <c r="D401" s="196"/>
      <c r="E401" s="210"/>
      <c r="F401" s="192"/>
      <c r="G401" s="118"/>
      <c r="H401" s="120">
        <v>1</v>
      </c>
      <c r="I401" s="20">
        <v>2085000</v>
      </c>
      <c r="J401" s="20">
        <f>I401*H401</f>
        <v>2085000</v>
      </c>
      <c r="K401" s="48"/>
      <c r="L401" s="48"/>
      <c r="M401" s="48"/>
      <c r="N401" s="48"/>
    </row>
    <row r="402" spans="1:14" ht="13.5" customHeight="1">
      <c r="A402" s="120"/>
      <c r="B402" s="224"/>
      <c r="C402" s="196"/>
      <c r="D402" s="196"/>
      <c r="E402" s="210"/>
      <c r="F402" s="118" t="s">
        <v>365</v>
      </c>
      <c r="G402" s="118"/>
      <c r="H402" s="120">
        <v>1</v>
      </c>
      <c r="I402" s="20">
        <v>4158000</v>
      </c>
      <c r="J402" s="20">
        <f>I402*H402</f>
        <v>4158000</v>
      </c>
      <c r="K402" s="48"/>
      <c r="L402" s="48"/>
      <c r="M402" s="48"/>
      <c r="N402" s="48"/>
    </row>
    <row r="403" spans="1:14" ht="13.5" customHeight="1">
      <c r="A403" s="120"/>
      <c r="B403" s="224"/>
      <c r="C403" s="196"/>
      <c r="D403" s="196"/>
      <c r="E403" s="210"/>
      <c r="F403" s="118" t="s">
        <v>290</v>
      </c>
      <c r="G403" s="118"/>
      <c r="H403" s="120">
        <v>3</v>
      </c>
      <c r="I403" s="20">
        <v>1991000</v>
      </c>
      <c r="J403" s="20">
        <f>I403*H403</f>
        <v>5973000</v>
      </c>
      <c r="K403" s="48"/>
      <c r="L403" s="48"/>
      <c r="M403" s="48"/>
      <c r="N403" s="48"/>
    </row>
    <row r="404" spans="1:14" ht="13.5" customHeight="1">
      <c r="A404" s="120"/>
      <c r="B404" s="224"/>
      <c r="C404" s="196"/>
      <c r="D404" s="196"/>
      <c r="E404" s="210"/>
      <c r="F404" s="190" t="s">
        <v>152</v>
      </c>
      <c r="G404" s="118" t="s">
        <v>82</v>
      </c>
      <c r="H404" s="120">
        <v>74</v>
      </c>
      <c r="I404" s="20">
        <v>131980</v>
      </c>
      <c r="J404" s="20">
        <f>I404*H404</f>
        <v>9766520</v>
      </c>
      <c r="K404" s="48"/>
      <c r="L404" s="48"/>
      <c r="M404" s="48"/>
      <c r="N404" s="48"/>
    </row>
    <row r="405" spans="1:14" ht="13.5" customHeight="1">
      <c r="A405" s="120"/>
      <c r="B405" s="224"/>
      <c r="C405" s="196"/>
      <c r="D405" s="196"/>
      <c r="E405" s="210"/>
      <c r="F405" s="192"/>
      <c r="G405" s="118"/>
      <c r="H405" s="120">
        <v>1</v>
      </c>
      <c r="I405" s="20">
        <f>9899000-J404</f>
        <v>132480</v>
      </c>
      <c r="J405" s="20">
        <f>I405</f>
        <v>132480</v>
      </c>
      <c r="K405" s="48"/>
      <c r="L405" s="48"/>
      <c r="M405" s="48"/>
      <c r="N405" s="48"/>
    </row>
    <row r="406" spans="1:14" ht="13.5" customHeight="1">
      <c r="A406" s="120"/>
      <c r="B406" s="224"/>
      <c r="C406" s="196"/>
      <c r="D406" s="196"/>
      <c r="E406" s="210"/>
      <c r="F406" s="118" t="s">
        <v>153</v>
      </c>
      <c r="G406" s="118" t="s">
        <v>366</v>
      </c>
      <c r="H406" s="120">
        <v>1</v>
      </c>
      <c r="I406" s="20">
        <v>4800000</v>
      </c>
      <c r="J406" s="20">
        <f>I406</f>
        <v>4800000</v>
      </c>
      <c r="K406" s="48"/>
      <c r="L406" s="48"/>
      <c r="M406" s="48"/>
      <c r="N406" s="48"/>
    </row>
    <row r="407" spans="1:14" ht="13.5" customHeight="1">
      <c r="A407" s="120"/>
      <c r="B407" s="224"/>
      <c r="C407" s="196"/>
      <c r="D407" s="196"/>
      <c r="E407" s="210"/>
      <c r="F407" s="118" t="s">
        <v>292</v>
      </c>
      <c r="G407" s="118" t="s">
        <v>86</v>
      </c>
      <c r="H407" s="120">
        <v>1</v>
      </c>
      <c r="I407" s="20">
        <v>3354000</v>
      </c>
      <c r="J407" s="20">
        <f>I407</f>
        <v>3354000</v>
      </c>
      <c r="K407" s="48"/>
      <c r="L407" s="48"/>
      <c r="M407" s="48"/>
      <c r="N407" s="48"/>
    </row>
    <row r="408" spans="1:14" ht="13.5" customHeight="1">
      <c r="A408" s="120"/>
      <c r="B408" s="224"/>
      <c r="C408" s="196"/>
      <c r="D408" s="196"/>
      <c r="E408" s="210"/>
      <c r="F408" s="196" t="s">
        <v>87</v>
      </c>
      <c r="G408" s="118" t="s">
        <v>88</v>
      </c>
      <c r="H408" s="120">
        <v>2</v>
      </c>
      <c r="I408" s="20">
        <f>3450000+450000</f>
        <v>3900000</v>
      </c>
      <c r="J408" s="20">
        <f>I408*H408</f>
        <v>7800000</v>
      </c>
      <c r="K408" s="48"/>
      <c r="L408" s="48"/>
      <c r="M408" s="48"/>
      <c r="N408" s="48"/>
    </row>
    <row r="409" spans="1:14" ht="13.5" customHeight="1">
      <c r="A409" s="120"/>
      <c r="B409" s="224"/>
      <c r="C409" s="196"/>
      <c r="D409" s="196"/>
      <c r="E409" s="210"/>
      <c r="F409" s="196"/>
      <c r="G409" s="118" t="s">
        <v>89</v>
      </c>
      <c r="H409" s="120">
        <v>2</v>
      </c>
      <c r="I409" s="20">
        <v>3450000</v>
      </c>
      <c r="J409" s="20">
        <f t="shared" ref="J409" si="46">I409*H409</f>
        <v>6900000</v>
      </c>
      <c r="K409" s="48"/>
      <c r="L409" s="48"/>
      <c r="M409" s="48"/>
      <c r="N409" s="48"/>
    </row>
    <row r="410" spans="1:14" ht="13.5" customHeight="1">
      <c r="A410" s="120"/>
      <c r="B410" s="224"/>
      <c r="C410" s="196"/>
      <c r="D410" s="196"/>
      <c r="E410" s="198"/>
      <c r="F410" s="118" t="s">
        <v>90</v>
      </c>
      <c r="G410" s="118" t="s">
        <v>91</v>
      </c>
      <c r="H410" s="120">
        <v>2</v>
      </c>
      <c r="I410" s="20">
        <f>4063000/2</f>
        <v>2031500</v>
      </c>
      <c r="J410" s="20">
        <f>I410*H410</f>
        <v>4063000</v>
      </c>
      <c r="K410" s="48"/>
      <c r="L410" s="48"/>
      <c r="M410" s="48"/>
      <c r="N410" s="48"/>
    </row>
    <row r="411" spans="1:14" ht="13.5" customHeight="1">
      <c r="A411" s="120"/>
      <c r="B411" s="224"/>
      <c r="C411" s="118" t="s">
        <v>316</v>
      </c>
      <c r="D411" s="118" t="s">
        <v>367</v>
      </c>
      <c r="E411" s="148">
        <v>44365</v>
      </c>
      <c r="F411" s="118" t="s">
        <v>20</v>
      </c>
      <c r="G411" s="118" t="s">
        <v>368</v>
      </c>
      <c r="H411" s="120">
        <v>1</v>
      </c>
      <c r="I411" s="20">
        <f>53904000+900000</f>
        <v>54804000</v>
      </c>
      <c r="J411" s="20">
        <f>I411</f>
        <v>54804000</v>
      </c>
      <c r="K411" s="48"/>
      <c r="L411" s="48"/>
      <c r="M411" s="48"/>
      <c r="N411" s="48"/>
    </row>
    <row r="412" spans="1:14" ht="13.5" customHeight="1">
      <c r="A412" s="120"/>
      <c r="B412" s="224"/>
      <c r="C412" s="118"/>
      <c r="D412" s="118"/>
      <c r="E412" s="118"/>
      <c r="F412" s="118" t="s">
        <v>280</v>
      </c>
      <c r="G412" s="118" t="s">
        <v>70</v>
      </c>
      <c r="H412" s="120">
        <v>1</v>
      </c>
      <c r="I412" s="20">
        <v>8000000</v>
      </c>
      <c r="J412" s="20">
        <f>I412</f>
        <v>8000000</v>
      </c>
      <c r="K412" s="48"/>
      <c r="L412" s="48"/>
      <c r="M412" s="48"/>
      <c r="N412" s="48"/>
    </row>
    <row r="413" spans="1:14" ht="13.5" customHeight="1">
      <c r="A413" s="120"/>
      <c r="B413" s="224"/>
      <c r="C413" s="118" t="s">
        <v>104</v>
      </c>
      <c r="D413" s="131"/>
      <c r="E413" s="118"/>
      <c r="F413" s="118" t="s">
        <v>105</v>
      </c>
      <c r="G413" s="118" t="s">
        <v>106</v>
      </c>
      <c r="H413" s="120">
        <v>1</v>
      </c>
      <c r="I413" s="20">
        <v>3500000</v>
      </c>
      <c r="J413" s="20">
        <f t="shared" ref="J413:J414" si="47">I413</f>
        <v>3500000</v>
      </c>
      <c r="K413" s="48"/>
      <c r="L413" s="48"/>
      <c r="M413" s="48"/>
      <c r="N413" s="48"/>
    </row>
    <row r="414" spans="1:14" ht="13.5" customHeight="1">
      <c r="A414" s="120"/>
      <c r="B414" s="224"/>
      <c r="C414" s="118" t="s">
        <v>109</v>
      </c>
      <c r="D414" s="131"/>
      <c r="E414" s="118"/>
      <c r="F414" s="118" t="s">
        <v>107</v>
      </c>
      <c r="G414" s="118"/>
      <c r="H414" s="120">
        <v>1</v>
      </c>
      <c r="I414" s="20">
        <v>995000</v>
      </c>
      <c r="J414" s="20">
        <f t="shared" si="47"/>
        <v>995000</v>
      </c>
      <c r="K414" s="48"/>
      <c r="L414" s="48"/>
      <c r="M414" s="48"/>
      <c r="N414" s="48"/>
    </row>
    <row r="415" spans="1:14" ht="13.5" customHeight="1">
      <c r="A415" s="120"/>
      <c r="B415" s="224"/>
      <c r="C415" s="118" t="s">
        <v>110</v>
      </c>
      <c r="D415" s="131"/>
      <c r="E415" s="118"/>
      <c r="F415" s="118" t="s">
        <v>108</v>
      </c>
      <c r="G415" s="118"/>
      <c r="H415" s="120">
        <v>2</v>
      </c>
      <c r="I415" s="20">
        <v>600000</v>
      </c>
      <c r="J415" s="20">
        <f>I415*H415</f>
        <v>1200000</v>
      </c>
      <c r="K415" s="48"/>
      <c r="L415" s="48"/>
      <c r="M415" s="48"/>
      <c r="N415" s="48"/>
    </row>
    <row r="416" spans="1:14" ht="13.5" customHeight="1">
      <c r="A416" s="120"/>
      <c r="B416" s="224"/>
      <c r="C416" s="118"/>
      <c r="D416" s="131"/>
      <c r="E416" s="118"/>
      <c r="F416" s="118" t="s">
        <v>170</v>
      </c>
      <c r="G416" s="118" t="s">
        <v>255</v>
      </c>
      <c r="H416" s="120">
        <v>1</v>
      </c>
      <c r="I416" s="20">
        <v>5000000</v>
      </c>
      <c r="J416" s="20">
        <f>I416*H416</f>
        <v>5000000</v>
      </c>
      <c r="K416" s="48"/>
      <c r="L416" s="48"/>
      <c r="M416" s="48"/>
      <c r="N416" s="48"/>
    </row>
    <row r="417" spans="1:15" ht="13.5" customHeight="1">
      <c r="A417" s="120"/>
      <c r="B417" s="224"/>
      <c r="C417" s="118"/>
      <c r="D417" s="131"/>
      <c r="E417" s="118"/>
      <c r="F417" s="118" t="s">
        <v>30</v>
      </c>
      <c r="G417" s="118" t="s">
        <v>32</v>
      </c>
      <c r="H417" s="120">
        <v>1</v>
      </c>
      <c r="I417" s="20">
        <v>4500000</v>
      </c>
      <c r="J417" s="20">
        <f t="shared" ref="J417:J424" si="48">I417</f>
        <v>4500000</v>
      </c>
      <c r="K417" s="48"/>
      <c r="L417" s="48"/>
      <c r="M417" s="48"/>
      <c r="N417" s="48"/>
    </row>
    <row r="418" spans="1:15" ht="13.5" customHeight="1">
      <c r="A418" s="120"/>
      <c r="B418" s="224"/>
      <c r="C418" s="196" t="s">
        <v>200</v>
      </c>
      <c r="D418" s="131"/>
      <c r="E418" s="118"/>
      <c r="F418" s="118" t="s">
        <v>369</v>
      </c>
      <c r="G418" s="118"/>
      <c r="H418" s="120">
        <v>1</v>
      </c>
      <c r="I418" s="20">
        <f>51767400+3000000</f>
        <v>54767400</v>
      </c>
      <c r="J418" s="20">
        <f t="shared" si="48"/>
        <v>54767400</v>
      </c>
      <c r="K418" s="48"/>
      <c r="L418" s="48"/>
      <c r="M418" s="48"/>
      <c r="N418" s="48"/>
    </row>
    <row r="419" spans="1:15" ht="13.5" customHeight="1">
      <c r="A419" s="120"/>
      <c r="B419" s="224"/>
      <c r="C419" s="196"/>
      <c r="D419" s="131"/>
      <c r="E419" s="118"/>
      <c r="F419" s="118" t="s">
        <v>370</v>
      </c>
      <c r="G419" s="118"/>
      <c r="H419" s="120">
        <v>1</v>
      </c>
      <c r="I419" s="20">
        <f>69370000+3050000</f>
        <v>72420000</v>
      </c>
      <c r="J419" s="20">
        <f t="shared" si="48"/>
        <v>72420000</v>
      </c>
      <c r="K419" s="48"/>
      <c r="L419" s="48"/>
      <c r="M419" s="48"/>
      <c r="N419" s="48"/>
    </row>
    <row r="420" spans="1:15" ht="13.5" customHeight="1">
      <c r="A420" s="120"/>
      <c r="B420" s="224"/>
      <c r="C420" s="196"/>
      <c r="D420" s="131"/>
      <c r="E420" s="118"/>
      <c r="F420" s="118" t="s">
        <v>371</v>
      </c>
      <c r="G420" s="118"/>
      <c r="H420" s="120">
        <v>1</v>
      </c>
      <c r="I420" s="20">
        <f>119150000+3050000</f>
        <v>122200000</v>
      </c>
      <c r="J420" s="20">
        <f t="shared" si="48"/>
        <v>122200000</v>
      </c>
      <c r="K420" s="48"/>
      <c r="L420" s="48"/>
      <c r="M420" s="48"/>
      <c r="N420" s="48"/>
    </row>
    <row r="421" spans="1:15" ht="13.5" customHeight="1">
      <c r="A421" s="120"/>
      <c r="B421" s="224"/>
      <c r="C421" s="196"/>
      <c r="D421" s="131"/>
      <c r="E421" s="118"/>
      <c r="F421" s="118" t="s">
        <v>372</v>
      </c>
      <c r="G421" s="118"/>
      <c r="H421" s="120">
        <v>1</v>
      </c>
      <c r="I421" s="20">
        <f>65950000+2400000</f>
        <v>68350000</v>
      </c>
      <c r="J421" s="20">
        <f t="shared" si="48"/>
        <v>68350000</v>
      </c>
      <c r="K421" s="48"/>
      <c r="L421" s="48"/>
      <c r="M421" s="48"/>
      <c r="N421" s="48"/>
    </row>
    <row r="422" spans="1:15" ht="13.5" customHeight="1">
      <c r="A422" s="120"/>
      <c r="B422" s="224"/>
      <c r="C422" s="196"/>
      <c r="D422" s="131"/>
      <c r="E422" s="118"/>
      <c r="F422" s="118" t="s">
        <v>373</v>
      </c>
      <c r="G422" s="118"/>
      <c r="H422" s="120">
        <v>1</v>
      </c>
      <c r="I422" s="20">
        <f>52674657+2400000</f>
        <v>55074657</v>
      </c>
      <c r="J422" s="20">
        <f t="shared" si="48"/>
        <v>55074657</v>
      </c>
      <c r="K422" s="48"/>
      <c r="L422" s="48"/>
      <c r="M422" s="48"/>
      <c r="N422" s="48"/>
    </row>
    <row r="423" spans="1:15" ht="13.5" customHeight="1">
      <c r="A423" s="120"/>
      <c r="B423" s="224"/>
      <c r="C423" s="196"/>
      <c r="D423" s="131"/>
      <c r="E423" s="118"/>
      <c r="F423" s="118" t="s">
        <v>374</v>
      </c>
      <c r="G423" s="118"/>
      <c r="H423" s="120">
        <v>1</v>
      </c>
      <c r="I423" s="20">
        <f>66000000+2725000</f>
        <v>68725000</v>
      </c>
      <c r="J423" s="20">
        <f t="shared" si="48"/>
        <v>68725000</v>
      </c>
      <c r="K423" s="48"/>
      <c r="L423" s="48"/>
      <c r="M423" s="48"/>
      <c r="N423" s="48"/>
    </row>
    <row r="424" spans="1:15" ht="13.5" customHeight="1">
      <c r="A424" s="132"/>
      <c r="B424" s="225"/>
      <c r="C424" s="230"/>
      <c r="D424" s="166"/>
      <c r="E424" s="133"/>
      <c r="F424" s="133" t="s">
        <v>375</v>
      </c>
      <c r="G424" s="133"/>
      <c r="H424" s="132">
        <v>1</v>
      </c>
      <c r="I424" s="54">
        <f>18302000+2725000</f>
        <v>21027000</v>
      </c>
      <c r="J424" s="54">
        <f t="shared" si="48"/>
        <v>21027000</v>
      </c>
      <c r="K424" s="48"/>
      <c r="L424" s="48"/>
      <c r="M424" s="48"/>
      <c r="N424" s="48"/>
    </row>
    <row r="425" spans="1:15" s="40" customFormat="1" ht="13.5" customHeight="1">
      <c r="A425" s="135"/>
      <c r="B425" s="135"/>
      <c r="C425" s="136"/>
      <c r="D425" s="144"/>
      <c r="E425" s="136"/>
      <c r="F425" s="136"/>
      <c r="G425" s="136"/>
      <c r="H425" s="135"/>
      <c r="I425" s="138"/>
      <c r="J425" s="138">
        <f>SUM(J389:J424)</f>
        <v>638623557</v>
      </c>
      <c r="K425" s="48"/>
      <c r="L425" s="48"/>
      <c r="M425" s="48"/>
      <c r="N425" s="48"/>
      <c r="O425" s="178"/>
    </row>
    <row r="426" spans="1:15" ht="13.5" customHeight="1">
      <c r="A426" s="139"/>
      <c r="B426" s="223" t="s">
        <v>376</v>
      </c>
      <c r="C426" s="245" t="s">
        <v>140</v>
      </c>
      <c r="D426" s="245" t="s">
        <v>377</v>
      </c>
      <c r="E426" s="205">
        <v>44525</v>
      </c>
      <c r="F426" s="140" t="s">
        <v>73</v>
      </c>
      <c r="G426" s="140" t="s">
        <v>305</v>
      </c>
      <c r="H426" s="139">
        <v>2</v>
      </c>
      <c r="I426" s="19">
        <f>9300000+450000</f>
        <v>9750000</v>
      </c>
      <c r="J426" s="19">
        <f>I426*H426</f>
        <v>19500000</v>
      </c>
      <c r="K426" s="48"/>
      <c r="L426" s="48"/>
      <c r="M426" s="48"/>
      <c r="N426" s="48"/>
    </row>
    <row r="427" spans="1:15" ht="13.5" customHeight="1">
      <c r="A427" s="139"/>
      <c r="B427" s="224"/>
      <c r="C427" s="196"/>
      <c r="D427" s="196"/>
      <c r="E427" s="210"/>
      <c r="F427" s="190" t="s">
        <v>33</v>
      </c>
      <c r="G427" s="140" t="s">
        <v>325</v>
      </c>
      <c r="H427" s="139">
        <v>1</v>
      </c>
      <c r="I427" s="19">
        <v>8700000</v>
      </c>
      <c r="J427" s="19">
        <f>I427*H427</f>
        <v>8700000</v>
      </c>
      <c r="K427" s="48"/>
      <c r="L427" s="48"/>
      <c r="M427" s="48"/>
      <c r="N427" s="48"/>
    </row>
    <row r="428" spans="1:15" ht="13.5" customHeight="1">
      <c r="A428" s="139"/>
      <c r="B428" s="224"/>
      <c r="C428" s="196"/>
      <c r="D428" s="196"/>
      <c r="E428" s="210"/>
      <c r="F428" s="192"/>
      <c r="G428" s="140" t="s">
        <v>378</v>
      </c>
      <c r="H428" s="139">
        <v>1</v>
      </c>
      <c r="I428" s="19">
        <v>8580000</v>
      </c>
      <c r="J428" s="19">
        <f t="shared" ref="J428:J433" si="49">I428*H428</f>
        <v>8580000</v>
      </c>
      <c r="K428" s="48"/>
      <c r="L428" s="48"/>
      <c r="M428" s="48"/>
      <c r="N428" s="48"/>
    </row>
    <row r="429" spans="1:15" ht="13.5" customHeight="1">
      <c r="A429" s="139"/>
      <c r="B429" s="224"/>
      <c r="C429" s="196"/>
      <c r="D429" s="196"/>
      <c r="E429" s="210"/>
      <c r="F429" s="140" t="s">
        <v>37</v>
      </c>
      <c r="G429" s="140" t="s">
        <v>307</v>
      </c>
      <c r="H429" s="139">
        <v>2</v>
      </c>
      <c r="I429" s="19">
        <v>1800000</v>
      </c>
      <c r="J429" s="19">
        <f t="shared" si="49"/>
        <v>3600000</v>
      </c>
      <c r="K429" s="48"/>
      <c r="L429" s="48"/>
      <c r="M429" s="48"/>
      <c r="N429" s="48"/>
    </row>
    <row r="430" spans="1:15" ht="13.5" customHeight="1">
      <c r="A430" s="139"/>
      <c r="B430" s="224"/>
      <c r="C430" s="196"/>
      <c r="D430" s="196"/>
      <c r="E430" s="198"/>
      <c r="F430" s="140" t="s">
        <v>35</v>
      </c>
      <c r="G430" s="140" t="s">
        <v>346</v>
      </c>
      <c r="H430" s="139">
        <v>1</v>
      </c>
      <c r="I430" s="19">
        <v>6950000</v>
      </c>
      <c r="J430" s="19">
        <f t="shared" si="49"/>
        <v>6950000</v>
      </c>
      <c r="K430" s="48"/>
      <c r="L430" s="48"/>
      <c r="M430" s="48"/>
      <c r="N430" s="48"/>
    </row>
    <row r="431" spans="1:15" ht="13.5" customHeight="1">
      <c r="A431" s="139"/>
      <c r="B431" s="224"/>
      <c r="C431" s="118" t="s">
        <v>380</v>
      </c>
      <c r="D431" s="118" t="s">
        <v>379</v>
      </c>
      <c r="E431" s="157">
        <v>44462</v>
      </c>
      <c r="F431" s="140" t="s">
        <v>170</v>
      </c>
      <c r="G431" s="140" t="s">
        <v>221</v>
      </c>
      <c r="H431" s="139">
        <v>1</v>
      </c>
      <c r="I431" s="19">
        <f>61300000+850000</f>
        <v>62150000</v>
      </c>
      <c r="J431" s="19">
        <f t="shared" si="49"/>
        <v>62150000</v>
      </c>
      <c r="K431" s="48"/>
      <c r="L431" s="48"/>
      <c r="M431" s="48"/>
      <c r="N431" s="48"/>
    </row>
    <row r="432" spans="1:15" ht="13.5" customHeight="1">
      <c r="A432" s="139"/>
      <c r="B432" s="224"/>
      <c r="C432" s="196" t="s">
        <v>60</v>
      </c>
      <c r="D432" s="196" t="s">
        <v>381</v>
      </c>
      <c r="E432" s="197">
        <v>44448</v>
      </c>
      <c r="F432" s="140" t="s">
        <v>159</v>
      </c>
      <c r="G432" s="140"/>
      <c r="H432" s="139">
        <v>1</v>
      </c>
      <c r="I432" s="19">
        <v>7340000</v>
      </c>
      <c r="J432" s="19">
        <f t="shared" si="49"/>
        <v>7340000</v>
      </c>
      <c r="K432" s="48"/>
      <c r="L432" s="48"/>
      <c r="M432" s="48"/>
      <c r="N432" s="48"/>
    </row>
    <row r="433" spans="1:14" ht="13.5" customHeight="1">
      <c r="A433" s="139"/>
      <c r="B433" s="224"/>
      <c r="C433" s="196"/>
      <c r="D433" s="196"/>
      <c r="E433" s="210"/>
      <c r="F433" s="140" t="s">
        <v>94</v>
      </c>
      <c r="G433" s="140"/>
      <c r="H433" s="139">
        <v>1</v>
      </c>
      <c r="I433" s="19">
        <v>4000000</v>
      </c>
      <c r="J433" s="19">
        <f t="shared" si="49"/>
        <v>4000000</v>
      </c>
      <c r="K433" s="48"/>
      <c r="L433" s="48"/>
      <c r="M433" s="48"/>
      <c r="N433" s="48"/>
    </row>
    <row r="434" spans="1:14" ht="13.5" customHeight="1">
      <c r="A434" s="139"/>
      <c r="B434" s="224"/>
      <c r="C434" s="196"/>
      <c r="D434" s="196"/>
      <c r="E434" s="210"/>
      <c r="F434" s="140" t="s">
        <v>382</v>
      </c>
      <c r="G434" s="140" t="s">
        <v>127</v>
      </c>
      <c r="H434" s="139">
        <v>1</v>
      </c>
      <c r="I434" s="19">
        <v>300000</v>
      </c>
      <c r="J434" s="19">
        <f>I434</f>
        <v>300000</v>
      </c>
      <c r="K434" s="48"/>
      <c r="L434" s="48"/>
      <c r="M434" s="48"/>
      <c r="N434" s="48"/>
    </row>
    <row r="435" spans="1:14" ht="13.5" customHeight="1">
      <c r="A435" s="139"/>
      <c r="B435" s="224"/>
      <c r="C435" s="196"/>
      <c r="D435" s="196"/>
      <c r="E435" s="210"/>
      <c r="F435" s="140" t="s">
        <v>128</v>
      </c>
      <c r="G435" s="140"/>
      <c r="H435" s="139">
        <v>1</v>
      </c>
      <c r="I435" s="19">
        <v>1200000</v>
      </c>
      <c r="J435" s="19">
        <f>I435</f>
        <v>1200000</v>
      </c>
      <c r="K435" s="48"/>
      <c r="L435" s="48"/>
      <c r="M435" s="48"/>
      <c r="N435" s="48"/>
    </row>
    <row r="436" spans="1:14" ht="13.5" customHeight="1">
      <c r="A436" s="139"/>
      <c r="B436" s="224"/>
      <c r="C436" s="196"/>
      <c r="D436" s="196"/>
      <c r="E436" s="198"/>
      <c r="F436" s="140" t="s">
        <v>65</v>
      </c>
      <c r="G436" s="140"/>
      <c r="H436" s="139">
        <v>1</v>
      </c>
      <c r="I436" s="19">
        <v>700000</v>
      </c>
      <c r="J436" s="19">
        <f>I436</f>
        <v>700000</v>
      </c>
      <c r="K436" s="48"/>
      <c r="L436" s="48"/>
      <c r="M436" s="48"/>
      <c r="N436" s="48"/>
    </row>
    <row r="437" spans="1:14" ht="13.5" customHeight="1">
      <c r="A437" s="139"/>
      <c r="B437" s="224"/>
      <c r="C437" s="118" t="s">
        <v>78</v>
      </c>
      <c r="D437" s="118" t="s">
        <v>383</v>
      </c>
      <c r="E437" s="157">
        <v>44358</v>
      </c>
      <c r="F437" s="140" t="s">
        <v>96</v>
      </c>
      <c r="G437" s="140" t="s">
        <v>97</v>
      </c>
      <c r="H437" s="139">
        <v>1</v>
      </c>
      <c r="I437" s="19">
        <v>6990500</v>
      </c>
      <c r="J437" s="19">
        <f>I437</f>
        <v>6990500</v>
      </c>
      <c r="K437" s="48"/>
      <c r="L437" s="48"/>
      <c r="M437" s="48"/>
      <c r="N437" s="48"/>
    </row>
    <row r="438" spans="1:14" ht="13.5" customHeight="1">
      <c r="A438" s="139"/>
      <c r="B438" s="224"/>
      <c r="C438" s="196" t="s">
        <v>248</v>
      </c>
      <c r="D438" s="196" t="s">
        <v>384</v>
      </c>
      <c r="E438" s="197">
        <v>44327</v>
      </c>
      <c r="F438" s="140" t="s">
        <v>46</v>
      </c>
      <c r="G438" s="140"/>
      <c r="H438" s="139">
        <v>3</v>
      </c>
      <c r="I438" s="19">
        <v>1991000</v>
      </c>
      <c r="J438" s="19">
        <f>I438*H438</f>
        <v>5973000</v>
      </c>
      <c r="K438" s="48"/>
      <c r="L438" s="48"/>
      <c r="M438" s="48"/>
      <c r="N438" s="48"/>
    </row>
    <row r="439" spans="1:14" ht="13.5" customHeight="1">
      <c r="A439" s="139"/>
      <c r="B439" s="224"/>
      <c r="C439" s="196"/>
      <c r="D439" s="196"/>
      <c r="E439" s="210"/>
      <c r="F439" s="140" t="s">
        <v>152</v>
      </c>
      <c r="G439" s="140" t="s">
        <v>82</v>
      </c>
      <c r="H439" s="139">
        <v>75</v>
      </c>
      <c r="I439" s="19">
        <f>9900000/75</f>
        <v>132000</v>
      </c>
      <c r="J439" s="19">
        <f>I439*H439</f>
        <v>9900000</v>
      </c>
      <c r="K439" s="48"/>
      <c r="L439" s="48"/>
      <c r="M439" s="48"/>
      <c r="N439" s="48"/>
    </row>
    <row r="440" spans="1:14" ht="13.5" customHeight="1">
      <c r="A440" s="139"/>
      <c r="B440" s="224"/>
      <c r="C440" s="196"/>
      <c r="D440" s="196"/>
      <c r="E440" s="210"/>
      <c r="F440" s="140" t="s">
        <v>385</v>
      </c>
      <c r="G440" s="140" t="s">
        <v>366</v>
      </c>
      <c r="H440" s="139">
        <v>1</v>
      </c>
      <c r="I440" s="19">
        <v>5000000</v>
      </c>
      <c r="J440" s="19">
        <v>4800000</v>
      </c>
      <c r="K440" s="48"/>
      <c r="L440" s="48"/>
      <c r="M440" s="48"/>
      <c r="N440" s="48"/>
    </row>
    <row r="441" spans="1:14" ht="13.5" customHeight="1">
      <c r="A441" s="139"/>
      <c r="B441" s="224"/>
      <c r="C441" s="196"/>
      <c r="D441" s="196"/>
      <c r="E441" s="210"/>
      <c r="F441" s="140" t="s">
        <v>85</v>
      </c>
      <c r="G441" s="140" t="s">
        <v>86</v>
      </c>
      <c r="H441" s="139">
        <v>1</v>
      </c>
      <c r="I441" s="19">
        <v>3500000</v>
      </c>
      <c r="J441" s="19">
        <v>3285000</v>
      </c>
      <c r="K441" s="48"/>
      <c r="L441" s="48"/>
      <c r="M441" s="48"/>
      <c r="N441" s="48"/>
    </row>
    <row r="442" spans="1:14" ht="13.5" customHeight="1">
      <c r="A442" s="139"/>
      <c r="B442" s="224"/>
      <c r="C442" s="196"/>
      <c r="D442" s="196"/>
      <c r="E442" s="210"/>
      <c r="F442" s="196" t="s">
        <v>87</v>
      </c>
      <c r="G442" s="118" t="s">
        <v>88</v>
      </c>
      <c r="H442" s="120">
        <v>2</v>
      </c>
      <c r="I442" s="20">
        <f>3450000+425000</f>
        <v>3875000</v>
      </c>
      <c r="J442" s="20">
        <f>I442*H442</f>
        <v>7750000</v>
      </c>
      <c r="K442" s="48"/>
      <c r="L442" s="48"/>
      <c r="M442" s="48"/>
      <c r="N442" s="48"/>
    </row>
    <row r="443" spans="1:14" ht="13.5" customHeight="1">
      <c r="A443" s="139"/>
      <c r="B443" s="224"/>
      <c r="C443" s="196"/>
      <c r="D443" s="196"/>
      <c r="E443" s="210"/>
      <c r="F443" s="196"/>
      <c r="G443" s="118" t="s">
        <v>89</v>
      </c>
      <c r="H443" s="120">
        <v>2</v>
      </c>
      <c r="I443" s="20">
        <v>3450000</v>
      </c>
      <c r="J443" s="20">
        <f t="shared" ref="J443" si="50">I443*H443</f>
        <v>6900000</v>
      </c>
      <c r="K443" s="48"/>
      <c r="L443" s="48"/>
      <c r="M443" s="48"/>
      <c r="N443" s="48"/>
    </row>
    <row r="444" spans="1:14" ht="13.5" customHeight="1">
      <c r="A444" s="139"/>
      <c r="B444" s="224"/>
      <c r="C444" s="196"/>
      <c r="D444" s="196"/>
      <c r="E444" s="198"/>
      <c r="F444" s="118" t="s">
        <v>90</v>
      </c>
      <c r="G444" s="118" t="s">
        <v>91</v>
      </c>
      <c r="H444" s="120">
        <v>2</v>
      </c>
      <c r="I444" s="20">
        <f>4152000/2</f>
        <v>2076000</v>
      </c>
      <c r="J444" s="20">
        <f>I444*H444</f>
        <v>4152000</v>
      </c>
      <c r="K444" s="48"/>
      <c r="L444" s="48"/>
      <c r="M444" s="48"/>
      <c r="N444" s="48"/>
    </row>
    <row r="445" spans="1:14" ht="13.5" customHeight="1">
      <c r="A445" s="139"/>
      <c r="B445" s="224"/>
      <c r="C445" s="118"/>
      <c r="D445" s="131"/>
      <c r="E445" s="140"/>
      <c r="F445" s="140" t="s">
        <v>276</v>
      </c>
      <c r="G445" s="140"/>
      <c r="H445" s="139">
        <v>1</v>
      </c>
      <c r="I445" s="19">
        <v>700000</v>
      </c>
      <c r="J445" s="19">
        <f>I445</f>
        <v>700000</v>
      </c>
      <c r="K445" s="48"/>
      <c r="L445" s="48"/>
      <c r="M445" s="48"/>
      <c r="N445" s="48"/>
    </row>
    <row r="446" spans="1:14" ht="13.5" customHeight="1">
      <c r="A446" s="139"/>
      <c r="B446" s="224"/>
      <c r="C446" s="118"/>
      <c r="D446" s="131"/>
      <c r="E446" s="140"/>
      <c r="F446" s="140" t="s">
        <v>30</v>
      </c>
      <c r="G446" s="140"/>
      <c r="H446" s="139">
        <v>1</v>
      </c>
      <c r="I446" s="19">
        <v>4500000</v>
      </c>
      <c r="J446" s="19">
        <f>I446</f>
        <v>4500000</v>
      </c>
      <c r="K446" s="48"/>
      <c r="L446" s="48"/>
      <c r="M446" s="48"/>
      <c r="N446" s="48"/>
    </row>
    <row r="447" spans="1:14" ht="13.5" customHeight="1">
      <c r="A447" s="139"/>
      <c r="B447" s="224"/>
      <c r="C447" s="118"/>
      <c r="D447" s="131"/>
      <c r="E447" s="140"/>
      <c r="F447" s="140" t="s">
        <v>54</v>
      </c>
      <c r="G447" s="140" t="s">
        <v>70</v>
      </c>
      <c r="H447" s="139">
        <v>1</v>
      </c>
      <c r="I447" s="19">
        <v>8000000</v>
      </c>
      <c r="J447" s="19">
        <f>I447</f>
        <v>8000000</v>
      </c>
      <c r="K447" s="48"/>
      <c r="L447" s="48"/>
      <c r="M447" s="48"/>
      <c r="N447" s="48"/>
    </row>
    <row r="448" spans="1:14" ht="13.5" customHeight="1">
      <c r="A448" s="139"/>
      <c r="B448" s="224"/>
      <c r="C448" s="118" t="s">
        <v>104</v>
      </c>
      <c r="D448" s="131"/>
      <c r="E448" s="118"/>
      <c r="F448" s="118" t="s">
        <v>105</v>
      </c>
      <c r="G448" s="118" t="s">
        <v>106</v>
      </c>
      <c r="H448" s="120">
        <v>1</v>
      </c>
      <c r="I448" s="20">
        <v>3500000</v>
      </c>
      <c r="J448" s="20">
        <f t="shared" ref="J448:J449" si="51">I448</f>
        <v>3500000</v>
      </c>
      <c r="K448" s="48"/>
      <c r="L448" s="48"/>
      <c r="M448" s="48"/>
      <c r="N448" s="48"/>
    </row>
    <row r="449" spans="1:15" ht="13.5" customHeight="1">
      <c r="A449" s="139"/>
      <c r="B449" s="224"/>
      <c r="C449" s="118" t="s">
        <v>109</v>
      </c>
      <c r="D449" s="131"/>
      <c r="E449" s="118"/>
      <c r="F449" s="118" t="s">
        <v>107</v>
      </c>
      <c r="G449" s="118"/>
      <c r="H449" s="120">
        <v>1</v>
      </c>
      <c r="I449" s="20">
        <v>995000</v>
      </c>
      <c r="J449" s="20">
        <f t="shared" si="51"/>
        <v>995000</v>
      </c>
      <c r="K449" s="48"/>
      <c r="L449" s="48"/>
      <c r="M449" s="48"/>
      <c r="N449" s="48"/>
    </row>
    <row r="450" spans="1:15" ht="13.5" customHeight="1">
      <c r="A450" s="139"/>
      <c r="B450" s="224"/>
      <c r="C450" s="118" t="s">
        <v>110</v>
      </c>
      <c r="D450" s="131"/>
      <c r="E450" s="118"/>
      <c r="F450" s="118" t="s">
        <v>108</v>
      </c>
      <c r="G450" s="118"/>
      <c r="H450" s="120">
        <v>2</v>
      </c>
      <c r="I450" s="20">
        <v>600000</v>
      </c>
      <c r="J450" s="20">
        <f>I450*H450</f>
        <v>1200000</v>
      </c>
      <c r="K450" s="48"/>
      <c r="L450" s="48"/>
      <c r="M450" s="48"/>
      <c r="N450" s="48"/>
    </row>
    <row r="451" spans="1:15" ht="13.5" customHeight="1">
      <c r="A451" s="139"/>
      <c r="B451" s="224"/>
      <c r="C451" s="118"/>
      <c r="D451" s="131"/>
      <c r="E451" s="118"/>
      <c r="F451" s="118" t="s">
        <v>170</v>
      </c>
      <c r="G451" s="118" t="s">
        <v>255</v>
      </c>
      <c r="H451" s="120">
        <v>1</v>
      </c>
      <c r="I451" s="20">
        <v>5000000</v>
      </c>
      <c r="J451" s="20">
        <f>I451*H451</f>
        <v>5000000</v>
      </c>
      <c r="K451" s="48"/>
      <c r="L451" s="48"/>
      <c r="M451" s="48"/>
      <c r="N451" s="48"/>
    </row>
    <row r="452" spans="1:15" ht="13.5" customHeight="1">
      <c r="A452" s="139"/>
      <c r="B452" s="224"/>
      <c r="C452" s="190" t="s">
        <v>200</v>
      </c>
      <c r="D452" s="131"/>
      <c r="E452" s="140"/>
      <c r="F452" s="140" t="s">
        <v>386</v>
      </c>
      <c r="G452" s="140"/>
      <c r="H452" s="139">
        <v>1</v>
      </c>
      <c r="I452" s="19">
        <f>117993000+3000000</f>
        <v>120993000</v>
      </c>
      <c r="J452" s="19">
        <f>I452</f>
        <v>120993000</v>
      </c>
      <c r="K452" s="48"/>
      <c r="L452" s="48"/>
      <c r="M452" s="48"/>
      <c r="N452" s="48"/>
    </row>
    <row r="453" spans="1:15" ht="13.5" customHeight="1">
      <c r="A453" s="139"/>
      <c r="B453" s="224"/>
      <c r="C453" s="191"/>
      <c r="D453" s="131"/>
      <c r="E453" s="140"/>
      <c r="F453" s="140" t="s">
        <v>387</v>
      </c>
      <c r="G453" s="140"/>
      <c r="H453" s="139">
        <v>1</v>
      </c>
      <c r="I453" s="19">
        <f>92000000+3050000</f>
        <v>95050000</v>
      </c>
      <c r="J453" s="19">
        <f>I453</f>
        <v>95050000</v>
      </c>
      <c r="K453" s="48"/>
      <c r="L453" s="48"/>
      <c r="M453" s="48"/>
      <c r="N453" s="48"/>
    </row>
    <row r="454" spans="1:15" ht="13.5" customHeight="1">
      <c r="A454" s="139"/>
      <c r="B454" s="224"/>
      <c r="C454" s="191"/>
      <c r="D454" s="131"/>
      <c r="E454" s="140"/>
      <c r="F454" s="140" t="s">
        <v>389</v>
      </c>
      <c r="G454" s="140"/>
      <c r="H454" s="139">
        <v>1</v>
      </c>
      <c r="I454" s="19">
        <f>75900000+2400000</f>
        <v>78300000</v>
      </c>
      <c r="J454" s="19">
        <f t="shared" ref="J454:J458" si="52">I454</f>
        <v>78300000</v>
      </c>
      <c r="K454" s="48"/>
      <c r="L454" s="48"/>
      <c r="M454" s="48"/>
      <c r="N454" s="48"/>
    </row>
    <row r="455" spans="1:15" ht="13.5" customHeight="1">
      <c r="A455" s="139"/>
      <c r="B455" s="224"/>
      <c r="C455" s="191"/>
      <c r="D455" s="131"/>
      <c r="E455" s="140"/>
      <c r="F455" s="140" t="s">
        <v>388</v>
      </c>
      <c r="G455" s="140"/>
      <c r="H455" s="139">
        <v>1</v>
      </c>
      <c r="I455" s="19">
        <f>45770000+2400000</f>
        <v>48170000</v>
      </c>
      <c r="J455" s="19">
        <f t="shared" si="52"/>
        <v>48170000</v>
      </c>
      <c r="K455" s="48"/>
      <c r="L455" s="48"/>
      <c r="M455" s="48"/>
      <c r="N455" s="48"/>
    </row>
    <row r="456" spans="1:15" ht="13.5" customHeight="1">
      <c r="A456" s="139"/>
      <c r="B456" s="224"/>
      <c r="C456" s="191"/>
      <c r="D456" s="131"/>
      <c r="E456" s="140"/>
      <c r="F456" s="140" t="s">
        <v>390</v>
      </c>
      <c r="G456" s="140"/>
      <c r="H456" s="139">
        <v>1</v>
      </c>
      <c r="I456" s="19">
        <f>64376657+2400000</f>
        <v>66776657</v>
      </c>
      <c r="J456" s="19">
        <f t="shared" si="52"/>
        <v>66776657</v>
      </c>
      <c r="K456" s="48"/>
      <c r="L456" s="48"/>
      <c r="M456" s="48"/>
      <c r="N456" s="48"/>
    </row>
    <row r="457" spans="1:15" ht="13.5" customHeight="1">
      <c r="A457" s="139"/>
      <c r="B457" s="224"/>
      <c r="C457" s="191"/>
      <c r="D457" s="131"/>
      <c r="E457" s="140"/>
      <c r="F457" s="140" t="s">
        <v>391</v>
      </c>
      <c r="G457" s="140"/>
      <c r="H457" s="139">
        <v>1</v>
      </c>
      <c r="I457" s="19">
        <f>20700000+2400000</f>
        <v>23100000</v>
      </c>
      <c r="J457" s="19">
        <f t="shared" si="52"/>
        <v>23100000</v>
      </c>
      <c r="K457" s="48"/>
      <c r="L457" s="48"/>
      <c r="M457" s="48"/>
      <c r="N457" s="48"/>
    </row>
    <row r="458" spans="1:15" ht="13.5" customHeight="1">
      <c r="A458" s="160"/>
      <c r="B458" s="225"/>
      <c r="C458" s="217"/>
      <c r="D458" s="166"/>
      <c r="E458" s="162"/>
      <c r="F458" s="162" t="s">
        <v>392</v>
      </c>
      <c r="G458" s="162"/>
      <c r="H458" s="160">
        <v>1</v>
      </c>
      <c r="I458" s="158">
        <f>37149695+2400000</f>
        <v>39549695</v>
      </c>
      <c r="J458" s="158">
        <f t="shared" si="52"/>
        <v>39549695</v>
      </c>
      <c r="K458" s="48"/>
      <c r="L458" s="48"/>
      <c r="M458" s="48"/>
      <c r="N458" s="48"/>
    </row>
    <row r="459" spans="1:15" s="40" customFormat="1" ht="13.5" customHeight="1">
      <c r="A459" s="135"/>
      <c r="B459" s="135"/>
      <c r="C459" s="136"/>
      <c r="D459" s="144"/>
      <c r="E459" s="136"/>
      <c r="F459" s="136"/>
      <c r="G459" s="136"/>
      <c r="H459" s="135"/>
      <c r="I459" s="138"/>
      <c r="J459" s="138">
        <f>SUM(J426:J458)</f>
        <v>668604852</v>
      </c>
      <c r="K459" s="48"/>
      <c r="L459" s="48"/>
      <c r="M459" s="48"/>
      <c r="N459" s="48"/>
      <c r="O459" s="178"/>
    </row>
    <row r="460" spans="1:15" s="48" customFormat="1" ht="13.5" customHeight="1">
      <c r="A460" s="160"/>
      <c r="B460" s="223" t="s">
        <v>393</v>
      </c>
      <c r="C460" s="245" t="s">
        <v>230</v>
      </c>
      <c r="D460" s="245" t="s">
        <v>394</v>
      </c>
      <c r="E460" s="246">
        <v>44515</v>
      </c>
      <c r="F460" s="162" t="s">
        <v>73</v>
      </c>
      <c r="G460" s="162" t="s">
        <v>361</v>
      </c>
      <c r="H460" s="160">
        <v>1</v>
      </c>
      <c r="I460" s="158">
        <f>9330000+650000</f>
        <v>9980000</v>
      </c>
      <c r="J460" s="158">
        <f>I460*H460</f>
        <v>9980000</v>
      </c>
    </row>
    <row r="461" spans="1:15" ht="13.5" customHeight="1">
      <c r="A461" s="120"/>
      <c r="B461" s="224"/>
      <c r="C461" s="196"/>
      <c r="D461" s="196"/>
      <c r="E461" s="244"/>
      <c r="F461" s="118" t="s">
        <v>33</v>
      </c>
      <c r="G461" s="118" t="s">
        <v>208</v>
      </c>
      <c r="H461" s="120">
        <v>2</v>
      </c>
      <c r="I461" s="20">
        <v>7420000</v>
      </c>
      <c r="J461" s="20">
        <f>H461*I461</f>
        <v>14840000</v>
      </c>
      <c r="K461" s="48"/>
      <c r="L461" s="48"/>
      <c r="M461" s="48"/>
      <c r="N461" s="48"/>
    </row>
    <row r="462" spans="1:15" ht="13.5" customHeight="1">
      <c r="A462" s="120"/>
      <c r="B462" s="224"/>
      <c r="C462" s="196"/>
      <c r="D462" s="196"/>
      <c r="E462" s="244"/>
      <c r="F462" s="118" t="s">
        <v>37</v>
      </c>
      <c r="G462" s="118" t="s">
        <v>210</v>
      </c>
      <c r="H462" s="120">
        <v>2</v>
      </c>
      <c r="I462" s="20">
        <v>1820000</v>
      </c>
      <c r="J462" s="20">
        <f>H462*I462</f>
        <v>3640000</v>
      </c>
      <c r="K462" s="48"/>
      <c r="L462" s="48"/>
      <c r="M462" s="48"/>
      <c r="N462" s="48"/>
    </row>
    <row r="463" spans="1:15" ht="13.5" customHeight="1">
      <c r="A463" s="120"/>
      <c r="B463" s="224"/>
      <c r="C463" s="196" t="s">
        <v>60</v>
      </c>
      <c r="D463" s="196" t="s">
        <v>395</v>
      </c>
      <c r="E463" s="244">
        <v>44448</v>
      </c>
      <c r="F463" s="118" t="s">
        <v>159</v>
      </c>
      <c r="G463" s="118"/>
      <c r="H463" s="120">
        <v>1</v>
      </c>
      <c r="I463" s="20">
        <v>7340000</v>
      </c>
      <c r="J463" s="20">
        <f>I463</f>
        <v>7340000</v>
      </c>
      <c r="K463" s="48"/>
      <c r="L463" s="48"/>
      <c r="M463" s="48"/>
      <c r="N463" s="48"/>
    </row>
    <row r="464" spans="1:15" ht="13.5" customHeight="1">
      <c r="A464" s="120"/>
      <c r="B464" s="224"/>
      <c r="C464" s="196"/>
      <c r="D464" s="196"/>
      <c r="E464" s="244"/>
      <c r="F464" s="118" t="s">
        <v>94</v>
      </c>
      <c r="G464" s="118"/>
      <c r="H464" s="120">
        <v>1</v>
      </c>
      <c r="I464" s="20">
        <v>3000000</v>
      </c>
      <c r="J464" s="20">
        <f t="shared" ref="J464:J472" si="53">I464</f>
        <v>3000000</v>
      </c>
      <c r="K464" s="48"/>
      <c r="L464" s="48"/>
      <c r="M464" s="48"/>
      <c r="N464" s="48"/>
    </row>
    <row r="465" spans="1:14" ht="13.5" customHeight="1">
      <c r="A465" s="120"/>
      <c r="B465" s="224"/>
      <c r="C465" s="196"/>
      <c r="D465" s="196"/>
      <c r="E465" s="244"/>
      <c r="F465" s="118" t="s">
        <v>126</v>
      </c>
      <c r="G465" s="118" t="s">
        <v>127</v>
      </c>
      <c r="H465" s="120">
        <v>1</v>
      </c>
      <c r="I465" s="20">
        <v>300000</v>
      </c>
      <c r="J465" s="20">
        <f t="shared" si="53"/>
        <v>300000</v>
      </c>
      <c r="K465" s="48"/>
      <c r="L465" s="48"/>
      <c r="M465" s="48"/>
      <c r="N465" s="48"/>
    </row>
    <row r="466" spans="1:14" ht="13.5" customHeight="1">
      <c r="A466" s="120"/>
      <c r="B466" s="224"/>
      <c r="C466" s="196"/>
      <c r="D466" s="196"/>
      <c r="E466" s="244"/>
      <c r="F466" s="118" t="s">
        <v>128</v>
      </c>
      <c r="G466" s="118" t="s">
        <v>129</v>
      </c>
      <c r="H466" s="120">
        <v>1</v>
      </c>
      <c r="I466" s="20">
        <v>1200000</v>
      </c>
      <c r="J466" s="20">
        <f t="shared" si="53"/>
        <v>1200000</v>
      </c>
      <c r="K466" s="48"/>
      <c r="L466" s="48"/>
      <c r="M466" s="48"/>
      <c r="N466" s="48"/>
    </row>
    <row r="467" spans="1:14" ht="13.5" customHeight="1">
      <c r="A467" s="120"/>
      <c r="B467" s="224"/>
      <c r="C467" s="196"/>
      <c r="D467" s="196"/>
      <c r="E467" s="244"/>
      <c r="F467" s="118" t="s">
        <v>65</v>
      </c>
      <c r="G467" s="118" t="s">
        <v>396</v>
      </c>
      <c r="H467" s="120">
        <v>1</v>
      </c>
      <c r="I467" s="20">
        <v>700000</v>
      </c>
      <c r="J467" s="20">
        <f t="shared" si="53"/>
        <v>700000</v>
      </c>
      <c r="K467" s="48"/>
      <c r="L467" s="48"/>
      <c r="M467" s="48"/>
      <c r="N467" s="48"/>
    </row>
    <row r="468" spans="1:14" ht="13.5" customHeight="1">
      <c r="A468" s="120"/>
      <c r="B468" s="224"/>
      <c r="C468" s="196"/>
      <c r="D468" s="196"/>
      <c r="E468" s="244"/>
      <c r="F468" s="118" t="s">
        <v>130</v>
      </c>
      <c r="G468" s="145" t="s">
        <v>180</v>
      </c>
      <c r="H468" s="120">
        <v>1</v>
      </c>
      <c r="I468" s="20">
        <v>500000</v>
      </c>
      <c r="J468" s="20">
        <f t="shared" si="53"/>
        <v>500000</v>
      </c>
      <c r="K468" s="48"/>
      <c r="L468" s="48"/>
      <c r="M468" s="48"/>
      <c r="N468" s="48"/>
    </row>
    <row r="469" spans="1:14" ht="13.5" customHeight="1">
      <c r="A469" s="120"/>
      <c r="B469" s="224"/>
      <c r="C469" s="196"/>
      <c r="D469" s="196"/>
      <c r="E469" s="244"/>
      <c r="F469" s="118" t="s">
        <v>132</v>
      </c>
      <c r="G469" s="118"/>
      <c r="H469" s="120">
        <v>1</v>
      </c>
      <c r="I469" s="20">
        <v>700000</v>
      </c>
      <c r="J469" s="20">
        <f t="shared" si="53"/>
        <v>700000</v>
      </c>
      <c r="K469" s="48"/>
      <c r="L469" s="48"/>
      <c r="M469" s="48"/>
      <c r="N469" s="48"/>
    </row>
    <row r="470" spans="1:14" ht="13.5" customHeight="1">
      <c r="A470" s="120"/>
      <c r="B470" s="224"/>
      <c r="C470" s="196"/>
      <c r="D470" s="196"/>
      <c r="E470" s="244"/>
      <c r="F470" s="118" t="s">
        <v>277</v>
      </c>
      <c r="G470" s="118" t="s">
        <v>397</v>
      </c>
      <c r="H470" s="120">
        <v>1</v>
      </c>
      <c r="I470" s="20">
        <v>3705000</v>
      </c>
      <c r="J470" s="20">
        <f t="shared" si="53"/>
        <v>3705000</v>
      </c>
      <c r="K470" s="48"/>
      <c r="L470" s="48"/>
      <c r="M470" s="48"/>
      <c r="N470" s="48"/>
    </row>
    <row r="471" spans="1:14" ht="13.5" customHeight="1">
      <c r="A471" s="120"/>
      <c r="B471" s="224"/>
      <c r="C471" s="196"/>
      <c r="D471" s="196"/>
      <c r="E471" s="244"/>
      <c r="F471" s="118" t="s">
        <v>279</v>
      </c>
      <c r="G471" s="118" t="s">
        <v>398</v>
      </c>
      <c r="H471" s="120">
        <v>1</v>
      </c>
      <c r="I471" s="20">
        <v>4000000</v>
      </c>
      <c r="J471" s="20">
        <f t="shared" si="53"/>
        <v>4000000</v>
      </c>
      <c r="K471" s="48"/>
      <c r="L471" s="48"/>
      <c r="M471" s="48"/>
      <c r="N471" s="48"/>
    </row>
    <row r="472" spans="1:14" ht="13.5" customHeight="1">
      <c r="A472" s="120"/>
      <c r="B472" s="224"/>
      <c r="C472" s="196"/>
      <c r="D472" s="196"/>
      <c r="E472" s="244"/>
      <c r="F472" s="118" t="s">
        <v>399</v>
      </c>
      <c r="G472" s="118" t="s">
        <v>80</v>
      </c>
      <c r="H472" s="120">
        <v>1</v>
      </c>
      <c r="I472" s="20">
        <v>2000000</v>
      </c>
      <c r="J472" s="20">
        <f t="shared" si="53"/>
        <v>2000000</v>
      </c>
      <c r="K472" s="48"/>
      <c r="L472" s="48"/>
      <c r="M472" s="48"/>
      <c r="N472" s="48"/>
    </row>
    <row r="473" spans="1:14" ht="13.5" customHeight="1">
      <c r="A473" s="120"/>
      <c r="B473" s="224"/>
      <c r="C473" s="118" t="s">
        <v>71</v>
      </c>
      <c r="D473" s="118" t="s">
        <v>400</v>
      </c>
      <c r="E473" s="148">
        <v>44432</v>
      </c>
      <c r="F473" s="118" t="s">
        <v>30</v>
      </c>
      <c r="G473" s="118" t="s">
        <v>401</v>
      </c>
      <c r="H473" s="120">
        <v>2</v>
      </c>
      <c r="I473" s="20">
        <v>4900000</v>
      </c>
      <c r="J473" s="20">
        <f t="shared" ref="J473:J480" si="54">I473*H473</f>
        <v>9800000</v>
      </c>
      <c r="K473" s="48"/>
      <c r="L473" s="48"/>
      <c r="M473" s="48"/>
      <c r="N473" s="48"/>
    </row>
    <row r="474" spans="1:14" ht="13.5" customHeight="1">
      <c r="A474" s="120"/>
      <c r="B474" s="224"/>
      <c r="C474" s="118" t="s">
        <v>78</v>
      </c>
      <c r="D474" s="118" t="s">
        <v>402</v>
      </c>
      <c r="E474" s="148">
        <v>44358</v>
      </c>
      <c r="F474" s="118" t="s">
        <v>96</v>
      </c>
      <c r="G474" s="118" t="s">
        <v>97</v>
      </c>
      <c r="H474" s="120">
        <v>1</v>
      </c>
      <c r="I474" s="20">
        <v>6990500</v>
      </c>
      <c r="J474" s="20">
        <f t="shared" si="54"/>
        <v>6990500</v>
      </c>
      <c r="K474" s="48"/>
      <c r="L474" s="48"/>
      <c r="M474" s="48"/>
      <c r="N474" s="48"/>
    </row>
    <row r="475" spans="1:14" ht="13.5" customHeight="1">
      <c r="A475" s="120"/>
      <c r="B475" s="224"/>
      <c r="C475" s="196" t="s">
        <v>248</v>
      </c>
      <c r="D475" s="196" t="s">
        <v>403</v>
      </c>
      <c r="E475" s="244">
        <v>44327</v>
      </c>
      <c r="F475" s="190" t="s">
        <v>289</v>
      </c>
      <c r="G475" s="118"/>
      <c r="H475" s="120">
        <v>2</v>
      </c>
      <c r="I475" s="20">
        <v>2084000</v>
      </c>
      <c r="J475" s="20">
        <f t="shared" si="54"/>
        <v>4168000</v>
      </c>
      <c r="K475" s="48"/>
      <c r="L475" s="48"/>
      <c r="M475" s="48"/>
      <c r="N475" s="48"/>
    </row>
    <row r="476" spans="1:14" ht="13.5" customHeight="1">
      <c r="A476" s="120"/>
      <c r="B476" s="224"/>
      <c r="C476" s="196"/>
      <c r="D476" s="196"/>
      <c r="E476" s="244"/>
      <c r="F476" s="192"/>
      <c r="G476" s="118"/>
      <c r="H476" s="120">
        <v>1</v>
      </c>
      <c r="I476" s="20">
        <v>2086000</v>
      </c>
      <c r="J476" s="20">
        <f t="shared" si="54"/>
        <v>2086000</v>
      </c>
      <c r="K476" s="48"/>
      <c r="L476" s="48"/>
      <c r="M476" s="48"/>
      <c r="N476" s="48"/>
    </row>
    <row r="477" spans="1:14" ht="13.5" customHeight="1">
      <c r="A477" s="120"/>
      <c r="B477" s="224"/>
      <c r="C477" s="196"/>
      <c r="D477" s="196"/>
      <c r="E477" s="244"/>
      <c r="F477" s="118" t="s">
        <v>365</v>
      </c>
      <c r="G477" s="118"/>
      <c r="H477" s="120">
        <v>1</v>
      </c>
      <c r="I477" s="20">
        <v>4158000</v>
      </c>
      <c r="J477" s="20">
        <f t="shared" si="54"/>
        <v>4158000</v>
      </c>
      <c r="K477" s="48"/>
      <c r="L477" s="48"/>
      <c r="M477" s="48"/>
      <c r="N477" s="48"/>
    </row>
    <row r="478" spans="1:14" ht="13.5" customHeight="1">
      <c r="A478" s="120"/>
      <c r="B478" s="224"/>
      <c r="C478" s="196"/>
      <c r="D478" s="196"/>
      <c r="E478" s="244"/>
      <c r="F478" s="118" t="s">
        <v>290</v>
      </c>
      <c r="G478" s="118"/>
      <c r="H478" s="120">
        <v>3</v>
      </c>
      <c r="I478" s="20">
        <f>5973000/3</f>
        <v>1991000</v>
      </c>
      <c r="J478" s="20">
        <f t="shared" si="54"/>
        <v>5973000</v>
      </c>
      <c r="K478" s="48"/>
      <c r="L478" s="48"/>
      <c r="M478" s="48"/>
      <c r="N478" s="48"/>
    </row>
    <row r="479" spans="1:14" ht="13.5" customHeight="1">
      <c r="A479" s="120"/>
      <c r="B479" s="224"/>
      <c r="C479" s="196"/>
      <c r="D479" s="196"/>
      <c r="E479" s="244"/>
      <c r="F479" s="118" t="s">
        <v>152</v>
      </c>
      <c r="G479" s="118" t="s">
        <v>82</v>
      </c>
      <c r="H479" s="120">
        <v>74</v>
      </c>
      <c r="I479" s="20">
        <v>132000</v>
      </c>
      <c r="J479" s="20">
        <f t="shared" si="54"/>
        <v>9768000</v>
      </c>
      <c r="K479" s="48"/>
      <c r="L479" s="48"/>
      <c r="M479" s="48"/>
      <c r="N479" s="48"/>
    </row>
    <row r="480" spans="1:14" ht="13.5" customHeight="1">
      <c r="A480" s="120"/>
      <c r="B480" s="224"/>
      <c r="C480" s="196"/>
      <c r="D480" s="196"/>
      <c r="E480" s="244"/>
      <c r="F480" s="118"/>
      <c r="G480" s="118"/>
      <c r="H480" s="120">
        <v>1</v>
      </c>
      <c r="I480" s="20">
        <v>131000</v>
      </c>
      <c r="J480" s="20">
        <f t="shared" si="54"/>
        <v>131000</v>
      </c>
      <c r="K480" s="48"/>
      <c r="L480" s="48"/>
      <c r="M480" s="48"/>
      <c r="N480" s="48"/>
    </row>
    <row r="481" spans="1:14" ht="13.5" customHeight="1">
      <c r="A481" s="120"/>
      <c r="B481" s="224"/>
      <c r="C481" s="196"/>
      <c r="D481" s="196"/>
      <c r="E481" s="244"/>
      <c r="F481" s="118" t="s">
        <v>153</v>
      </c>
      <c r="G481" s="118" t="s">
        <v>366</v>
      </c>
      <c r="H481" s="120">
        <v>1</v>
      </c>
      <c r="I481" s="20">
        <v>5000000</v>
      </c>
      <c r="J481" s="20">
        <v>4800000</v>
      </c>
      <c r="K481" s="48"/>
      <c r="L481" s="48"/>
      <c r="M481" s="48"/>
      <c r="N481" s="48"/>
    </row>
    <row r="482" spans="1:14" ht="13.5" customHeight="1">
      <c r="A482" s="120"/>
      <c r="B482" s="224"/>
      <c r="C482" s="196"/>
      <c r="D482" s="196"/>
      <c r="E482" s="244"/>
      <c r="F482" s="118" t="s">
        <v>292</v>
      </c>
      <c r="G482" s="118" t="s">
        <v>86</v>
      </c>
      <c r="H482" s="120">
        <v>1</v>
      </c>
      <c r="I482" s="20">
        <v>3500000</v>
      </c>
      <c r="J482" s="20">
        <v>3353000</v>
      </c>
      <c r="K482" s="48"/>
      <c r="L482" s="48"/>
      <c r="M482" s="48"/>
      <c r="N482" s="48"/>
    </row>
    <row r="483" spans="1:14" ht="13.5" customHeight="1">
      <c r="A483" s="120"/>
      <c r="B483" s="224"/>
      <c r="C483" s="196"/>
      <c r="D483" s="196"/>
      <c r="E483" s="244"/>
      <c r="F483" s="196" t="s">
        <v>87</v>
      </c>
      <c r="G483" s="118" t="s">
        <v>88</v>
      </c>
      <c r="H483" s="120">
        <v>2</v>
      </c>
      <c r="I483" s="20">
        <f>3450000+325000</f>
        <v>3775000</v>
      </c>
      <c r="J483" s="20">
        <f>I483*H483</f>
        <v>7550000</v>
      </c>
      <c r="K483" s="48"/>
      <c r="L483" s="48"/>
      <c r="M483" s="48"/>
      <c r="N483" s="48"/>
    </row>
    <row r="484" spans="1:14" ht="13.5" customHeight="1">
      <c r="A484" s="120"/>
      <c r="B484" s="224"/>
      <c r="C484" s="196"/>
      <c r="D484" s="196"/>
      <c r="E484" s="244"/>
      <c r="F484" s="196"/>
      <c r="G484" s="118" t="s">
        <v>89</v>
      </c>
      <c r="H484" s="120">
        <v>2</v>
      </c>
      <c r="I484" s="20">
        <v>3450000</v>
      </c>
      <c r="J484" s="20">
        <f t="shared" ref="J484:J485" si="55">I484*H484</f>
        <v>6900000</v>
      </c>
      <c r="K484" s="48"/>
      <c r="L484" s="48"/>
      <c r="M484" s="48"/>
      <c r="N484" s="48"/>
    </row>
    <row r="485" spans="1:14" ht="13.5" customHeight="1">
      <c r="A485" s="120"/>
      <c r="B485" s="224"/>
      <c r="C485" s="196"/>
      <c r="D485" s="196"/>
      <c r="E485" s="244"/>
      <c r="F485" s="118" t="s">
        <v>90</v>
      </c>
      <c r="G485" s="118" t="s">
        <v>91</v>
      </c>
      <c r="H485" s="120">
        <v>2</v>
      </c>
      <c r="I485" s="20">
        <f>4063000/2</f>
        <v>2031500</v>
      </c>
      <c r="J485" s="20">
        <f t="shared" si="55"/>
        <v>4063000</v>
      </c>
      <c r="K485" s="48"/>
      <c r="L485" s="48"/>
      <c r="M485" s="48"/>
      <c r="N485" s="48"/>
    </row>
    <row r="486" spans="1:14" ht="13.5" customHeight="1">
      <c r="A486" s="120"/>
      <c r="B486" s="224"/>
      <c r="C486" s="118"/>
      <c r="D486" s="131"/>
      <c r="E486" s="118"/>
      <c r="F486" s="118" t="s">
        <v>280</v>
      </c>
      <c r="G486" s="118" t="s">
        <v>70</v>
      </c>
      <c r="H486" s="120">
        <v>1</v>
      </c>
      <c r="I486" s="20">
        <v>8000000</v>
      </c>
      <c r="J486" s="20">
        <f>I486</f>
        <v>8000000</v>
      </c>
      <c r="K486" s="48"/>
      <c r="L486" s="48"/>
      <c r="M486" s="48"/>
      <c r="N486" s="48"/>
    </row>
    <row r="487" spans="1:14" ht="13.5" customHeight="1">
      <c r="A487" s="120"/>
      <c r="B487" s="224"/>
      <c r="C487" s="118"/>
      <c r="D487" s="131"/>
      <c r="E487" s="118"/>
      <c r="F487" s="118" t="s">
        <v>35</v>
      </c>
      <c r="G487" s="118"/>
      <c r="H487" s="120">
        <v>1</v>
      </c>
      <c r="I487" s="20">
        <v>7000000</v>
      </c>
      <c r="J487" s="20">
        <f>I487</f>
        <v>7000000</v>
      </c>
      <c r="K487" s="48"/>
      <c r="L487" s="48"/>
      <c r="M487" s="48"/>
      <c r="N487" s="48"/>
    </row>
    <row r="488" spans="1:14" ht="13.5" customHeight="1">
      <c r="A488" s="120"/>
      <c r="B488" s="224"/>
      <c r="C488" s="118" t="s">
        <v>104</v>
      </c>
      <c r="D488" s="131"/>
      <c r="E488" s="118"/>
      <c r="F488" s="118" t="s">
        <v>105</v>
      </c>
      <c r="G488" s="118" t="s">
        <v>106</v>
      </c>
      <c r="H488" s="120">
        <v>1</v>
      </c>
      <c r="I488" s="20">
        <v>3500000</v>
      </c>
      <c r="J488" s="20">
        <f t="shared" ref="J488:J489" si="56">I488</f>
        <v>3500000</v>
      </c>
      <c r="K488" s="48"/>
      <c r="L488" s="48"/>
      <c r="M488" s="48"/>
      <c r="N488" s="48"/>
    </row>
    <row r="489" spans="1:14" ht="13.5" customHeight="1">
      <c r="A489" s="120"/>
      <c r="B489" s="224"/>
      <c r="C489" s="118" t="s">
        <v>109</v>
      </c>
      <c r="D489" s="131"/>
      <c r="E489" s="118"/>
      <c r="F489" s="118" t="s">
        <v>107</v>
      </c>
      <c r="G489" s="118"/>
      <c r="H489" s="120">
        <v>1</v>
      </c>
      <c r="I489" s="20">
        <v>995000</v>
      </c>
      <c r="J489" s="20">
        <f t="shared" si="56"/>
        <v>995000</v>
      </c>
      <c r="K489" s="48"/>
      <c r="L489" s="48"/>
      <c r="M489" s="48"/>
      <c r="N489" s="48"/>
    </row>
    <row r="490" spans="1:14" ht="13.5" customHeight="1">
      <c r="A490" s="120"/>
      <c r="B490" s="224"/>
      <c r="C490" s="118" t="s">
        <v>110</v>
      </c>
      <c r="D490" s="131"/>
      <c r="E490" s="118"/>
      <c r="F490" s="118" t="s">
        <v>108</v>
      </c>
      <c r="G490" s="118"/>
      <c r="H490" s="120">
        <v>2</v>
      </c>
      <c r="I490" s="20">
        <v>600000</v>
      </c>
      <c r="J490" s="20">
        <f>I490*H490</f>
        <v>1200000</v>
      </c>
      <c r="K490" s="48"/>
      <c r="L490" s="48"/>
      <c r="M490" s="48"/>
      <c r="N490" s="48"/>
    </row>
    <row r="491" spans="1:14" ht="13.5" customHeight="1">
      <c r="A491" s="120"/>
      <c r="B491" s="224"/>
      <c r="C491" s="118"/>
      <c r="D491" s="131"/>
      <c r="E491" s="118"/>
      <c r="F491" s="118" t="s">
        <v>170</v>
      </c>
      <c r="G491" s="118" t="s">
        <v>255</v>
      </c>
      <c r="H491" s="120">
        <v>1</v>
      </c>
      <c r="I491" s="20">
        <v>5000000</v>
      </c>
      <c r="J491" s="20">
        <f>I491*H491</f>
        <v>5000000</v>
      </c>
      <c r="K491" s="48"/>
      <c r="L491" s="48"/>
      <c r="M491" s="48"/>
      <c r="N491" s="48"/>
    </row>
    <row r="492" spans="1:14" ht="13.5" customHeight="1">
      <c r="A492" s="120"/>
      <c r="B492" s="224"/>
      <c r="C492" s="196" t="s">
        <v>200</v>
      </c>
      <c r="D492" s="131"/>
      <c r="E492" s="118"/>
      <c r="F492" s="118" t="s">
        <v>404</v>
      </c>
      <c r="G492" s="118"/>
      <c r="H492" s="120">
        <v>1</v>
      </c>
      <c r="I492" s="20">
        <f>41150000+2850000</f>
        <v>44000000</v>
      </c>
      <c r="J492" s="20">
        <f t="shared" ref="J492:J498" si="57">I492</f>
        <v>44000000</v>
      </c>
      <c r="K492" s="48"/>
      <c r="L492" s="48"/>
      <c r="M492" s="48"/>
      <c r="N492" s="48"/>
    </row>
    <row r="493" spans="1:14" ht="13.5" customHeight="1">
      <c r="A493" s="120"/>
      <c r="B493" s="224"/>
      <c r="C493" s="196"/>
      <c r="D493" s="131"/>
      <c r="E493" s="118"/>
      <c r="F493" s="118" t="s">
        <v>405</v>
      </c>
      <c r="G493" s="118"/>
      <c r="H493" s="120">
        <v>1</v>
      </c>
      <c r="I493" s="20">
        <f>65017025+2850000</f>
        <v>67867025</v>
      </c>
      <c r="J493" s="20">
        <f t="shared" si="57"/>
        <v>67867025</v>
      </c>
      <c r="K493" s="48"/>
      <c r="L493" s="48"/>
      <c r="M493" s="48"/>
      <c r="N493" s="48"/>
    </row>
    <row r="494" spans="1:14" ht="13.5" customHeight="1">
      <c r="A494" s="120"/>
      <c r="B494" s="224"/>
      <c r="C494" s="196"/>
      <c r="D494" s="131"/>
      <c r="E494" s="118"/>
      <c r="F494" s="118" t="s">
        <v>406</v>
      </c>
      <c r="G494" s="118"/>
      <c r="H494" s="120">
        <v>1</v>
      </c>
      <c r="I494" s="20">
        <f>56800000+2600000</f>
        <v>59400000</v>
      </c>
      <c r="J494" s="20">
        <f t="shared" si="57"/>
        <v>59400000</v>
      </c>
      <c r="K494" s="48"/>
      <c r="L494" s="48"/>
      <c r="M494" s="48"/>
      <c r="N494" s="48"/>
    </row>
    <row r="495" spans="1:14" ht="13.5" customHeight="1">
      <c r="A495" s="120"/>
      <c r="B495" s="224"/>
      <c r="C495" s="196"/>
      <c r="D495" s="131"/>
      <c r="E495" s="118"/>
      <c r="F495" s="118" t="s">
        <v>407</v>
      </c>
      <c r="G495" s="118"/>
      <c r="H495" s="120">
        <v>1</v>
      </c>
      <c r="I495" s="20">
        <f>57000000+2600000</f>
        <v>59600000</v>
      </c>
      <c r="J495" s="20">
        <f t="shared" si="57"/>
        <v>59600000</v>
      </c>
      <c r="K495" s="48"/>
      <c r="L495" s="48"/>
      <c r="M495" s="48"/>
      <c r="N495" s="48"/>
    </row>
    <row r="496" spans="1:14" ht="13.5" customHeight="1">
      <c r="A496" s="120"/>
      <c r="B496" s="224"/>
      <c r="C496" s="196"/>
      <c r="D496" s="131"/>
      <c r="E496" s="118"/>
      <c r="F496" s="118" t="s">
        <v>408</v>
      </c>
      <c r="G496" s="118"/>
      <c r="H496" s="120">
        <v>1</v>
      </c>
      <c r="I496" s="20">
        <f>55135000+2600000</f>
        <v>57735000</v>
      </c>
      <c r="J496" s="20">
        <f t="shared" si="57"/>
        <v>57735000</v>
      </c>
      <c r="K496" s="48"/>
      <c r="L496" s="48"/>
      <c r="M496" s="48"/>
      <c r="N496" s="48"/>
    </row>
    <row r="497" spans="1:15" ht="13.5" customHeight="1">
      <c r="A497" s="120"/>
      <c r="B497" s="224"/>
      <c r="C497" s="196"/>
      <c r="D497" s="131"/>
      <c r="E497" s="118"/>
      <c r="F497" s="118" t="s">
        <v>409</v>
      </c>
      <c r="G497" s="118"/>
      <c r="H497" s="120">
        <v>1</v>
      </c>
      <c r="I497" s="20">
        <f>59361655+2700000</f>
        <v>62061655</v>
      </c>
      <c r="J497" s="20">
        <f t="shared" si="57"/>
        <v>62061655</v>
      </c>
      <c r="K497" s="48"/>
      <c r="L497" s="48"/>
      <c r="M497" s="48"/>
      <c r="N497" s="48"/>
    </row>
    <row r="498" spans="1:15" ht="13.5" customHeight="1">
      <c r="A498" s="132"/>
      <c r="B498" s="225"/>
      <c r="C498" s="230"/>
      <c r="D498" s="166"/>
      <c r="E498" s="119"/>
      <c r="F498" s="133" t="s">
        <v>410</v>
      </c>
      <c r="G498" s="133"/>
      <c r="H498" s="132">
        <v>1</v>
      </c>
      <c r="I498" s="54">
        <f>62600000+2700000</f>
        <v>65300000</v>
      </c>
      <c r="J498" s="54">
        <f t="shared" si="57"/>
        <v>65300000</v>
      </c>
      <c r="K498" s="48"/>
      <c r="L498" s="48"/>
      <c r="M498" s="48"/>
      <c r="N498" s="48"/>
    </row>
    <row r="499" spans="1:15" s="40" customFormat="1" ht="13.5" customHeight="1">
      <c r="A499" s="135"/>
      <c r="B499" s="135"/>
      <c r="C499" s="136"/>
      <c r="D499" s="144"/>
      <c r="E499" s="136"/>
      <c r="F499" s="136"/>
      <c r="G499" s="136"/>
      <c r="H499" s="135"/>
      <c r="I499" s="138"/>
      <c r="J499" s="138">
        <f>SUM(J460:J498)</f>
        <v>563304180</v>
      </c>
      <c r="K499" s="48"/>
      <c r="L499" s="48"/>
      <c r="M499" s="48"/>
      <c r="N499" s="48"/>
      <c r="O499" s="178"/>
    </row>
    <row r="500" spans="1:15" ht="13.5" customHeight="1">
      <c r="A500" s="139"/>
      <c r="B500" s="223" t="s">
        <v>411</v>
      </c>
      <c r="C500" s="245" t="s">
        <v>184</v>
      </c>
      <c r="D500" s="245" t="s">
        <v>412</v>
      </c>
      <c r="E500" s="246">
        <v>44525</v>
      </c>
      <c r="F500" s="140" t="s">
        <v>73</v>
      </c>
      <c r="G500" s="140" t="s">
        <v>413</v>
      </c>
      <c r="H500" s="139">
        <v>2</v>
      </c>
      <c r="I500" s="19">
        <f>9300000+450000</f>
        <v>9750000</v>
      </c>
      <c r="J500" s="19">
        <f>I500*H500</f>
        <v>19500000</v>
      </c>
      <c r="K500" s="48"/>
      <c r="L500" s="48"/>
      <c r="M500" s="48"/>
      <c r="N500" s="48"/>
    </row>
    <row r="501" spans="1:15" ht="13.5" customHeight="1">
      <c r="A501" s="120"/>
      <c r="B501" s="224"/>
      <c r="C501" s="196"/>
      <c r="D501" s="196"/>
      <c r="E501" s="244"/>
      <c r="F501" s="190" t="s">
        <v>33</v>
      </c>
      <c r="G501" s="118" t="s">
        <v>325</v>
      </c>
      <c r="H501" s="120">
        <v>1</v>
      </c>
      <c r="I501" s="20">
        <v>8700000</v>
      </c>
      <c r="J501" s="19">
        <v>8700000</v>
      </c>
      <c r="K501" s="48"/>
      <c r="L501" s="48"/>
      <c r="M501" s="48"/>
      <c r="N501" s="48"/>
    </row>
    <row r="502" spans="1:15" ht="13.5" customHeight="1">
      <c r="A502" s="120"/>
      <c r="B502" s="224"/>
      <c r="C502" s="196"/>
      <c r="D502" s="196"/>
      <c r="E502" s="244"/>
      <c r="F502" s="192"/>
      <c r="G502" s="118" t="s">
        <v>378</v>
      </c>
      <c r="H502" s="120">
        <v>1</v>
      </c>
      <c r="I502" s="20">
        <v>8550000</v>
      </c>
      <c r="J502" s="19">
        <f t="shared" ref="J502:J510" si="58">I502*H502</f>
        <v>8550000</v>
      </c>
      <c r="K502" s="48"/>
      <c r="L502" s="48"/>
      <c r="M502" s="48"/>
      <c r="N502" s="48"/>
    </row>
    <row r="503" spans="1:15" ht="13.5" customHeight="1">
      <c r="A503" s="120"/>
      <c r="B503" s="224"/>
      <c r="C503" s="196"/>
      <c r="D503" s="196"/>
      <c r="E503" s="244"/>
      <c r="F503" s="118" t="s">
        <v>37</v>
      </c>
      <c r="G503" s="118" t="s">
        <v>414</v>
      </c>
      <c r="H503" s="120">
        <v>1</v>
      </c>
      <c r="I503" s="20">
        <v>8950000</v>
      </c>
      <c r="J503" s="19">
        <f t="shared" si="58"/>
        <v>8950000</v>
      </c>
      <c r="K503" s="48"/>
      <c r="L503" s="48"/>
      <c r="M503" s="48"/>
      <c r="N503" s="48"/>
    </row>
    <row r="504" spans="1:15" ht="13.5" customHeight="1">
      <c r="A504" s="120"/>
      <c r="B504" s="224"/>
      <c r="C504" s="196"/>
      <c r="D504" s="196"/>
      <c r="E504" s="244"/>
      <c r="F504" s="118" t="s">
        <v>35</v>
      </c>
      <c r="G504" s="118" t="s">
        <v>414</v>
      </c>
      <c r="H504" s="120">
        <v>1</v>
      </c>
      <c r="I504" s="20">
        <v>6950000</v>
      </c>
      <c r="J504" s="19">
        <f t="shared" si="58"/>
        <v>6950000</v>
      </c>
      <c r="K504" s="48"/>
      <c r="L504" s="48"/>
      <c r="M504" s="48"/>
      <c r="N504" s="48"/>
    </row>
    <row r="505" spans="1:15" ht="13.5" customHeight="1">
      <c r="A505" s="120"/>
      <c r="B505" s="224"/>
      <c r="C505" s="196" t="s">
        <v>60</v>
      </c>
      <c r="D505" s="196" t="s">
        <v>415</v>
      </c>
      <c r="E505" s="244">
        <v>44448</v>
      </c>
      <c r="F505" s="118" t="s">
        <v>159</v>
      </c>
      <c r="G505" s="118"/>
      <c r="H505" s="120">
        <v>1</v>
      </c>
      <c r="I505" s="20">
        <v>7340000</v>
      </c>
      <c r="J505" s="20">
        <f t="shared" si="58"/>
        <v>7340000</v>
      </c>
      <c r="K505" s="48"/>
      <c r="L505" s="48"/>
      <c r="M505" s="48"/>
      <c r="N505" s="48"/>
    </row>
    <row r="506" spans="1:15" ht="13.5" customHeight="1">
      <c r="A506" s="120"/>
      <c r="B506" s="224"/>
      <c r="C506" s="196"/>
      <c r="D506" s="196"/>
      <c r="E506" s="244"/>
      <c r="F506" s="118" t="s">
        <v>65</v>
      </c>
      <c r="G506" s="118"/>
      <c r="H506" s="120">
        <v>1</v>
      </c>
      <c r="I506" s="20">
        <v>700000</v>
      </c>
      <c r="J506" s="20">
        <f t="shared" si="58"/>
        <v>700000</v>
      </c>
      <c r="K506" s="48"/>
      <c r="L506" s="48"/>
      <c r="M506" s="48"/>
      <c r="N506" s="48"/>
    </row>
    <row r="507" spans="1:15" ht="13.5" customHeight="1">
      <c r="A507" s="120"/>
      <c r="B507" s="224"/>
      <c r="C507" s="196"/>
      <c r="D507" s="196"/>
      <c r="E507" s="244"/>
      <c r="F507" s="118" t="s">
        <v>128</v>
      </c>
      <c r="G507" s="118"/>
      <c r="H507" s="120">
        <v>1</v>
      </c>
      <c r="I507" s="20">
        <v>1200000</v>
      </c>
      <c r="J507" s="20">
        <f t="shared" si="58"/>
        <v>1200000</v>
      </c>
      <c r="K507" s="48"/>
      <c r="L507" s="48"/>
      <c r="M507" s="48"/>
      <c r="N507" s="48"/>
    </row>
    <row r="508" spans="1:15" ht="13.5" customHeight="1">
      <c r="A508" s="120"/>
      <c r="B508" s="224"/>
      <c r="C508" s="196"/>
      <c r="D508" s="196"/>
      <c r="E508" s="244"/>
      <c r="F508" s="118" t="s">
        <v>130</v>
      </c>
      <c r="G508" s="118"/>
      <c r="H508" s="120">
        <v>1</v>
      </c>
      <c r="I508" s="20">
        <v>500000</v>
      </c>
      <c r="J508" s="20">
        <f t="shared" si="58"/>
        <v>500000</v>
      </c>
      <c r="K508" s="48"/>
      <c r="L508" s="48"/>
      <c r="M508" s="48"/>
      <c r="N508" s="48"/>
    </row>
    <row r="509" spans="1:15" ht="13.5" customHeight="1">
      <c r="A509" s="120"/>
      <c r="B509" s="224"/>
      <c r="C509" s="196"/>
      <c r="D509" s="196"/>
      <c r="E509" s="244"/>
      <c r="F509" s="118" t="s">
        <v>148</v>
      </c>
      <c r="G509" s="118"/>
      <c r="H509" s="120">
        <v>2</v>
      </c>
      <c r="I509" s="20">
        <v>600000</v>
      </c>
      <c r="J509" s="20">
        <f t="shared" si="58"/>
        <v>1200000</v>
      </c>
      <c r="K509" s="48"/>
      <c r="L509" s="48"/>
      <c r="M509" s="48"/>
      <c r="N509" s="48"/>
    </row>
    <row r="510" spans="1:15" ht="13.5" customHeight="1">
      <c r="A510" s="120"/>
      <c r="B510" s="224"/>
      <c r="C510" s="118"/>
      <c r="D510" s="118"/>
      <c r="E510" s="148"/>
      <c r="F510" s="118" t="s">
        <v>280</v>
      </c>
      <c r="G510" s="118" t="s">
        <v>70</v>
      </c>
      <c r="H510" s="120">
        <v>1</v>
      </c>
      <c r="I510" s="20">
        <v>8000000</v>
      </c>
      <c r="J510" s="20">
        <f t="shared" si="58"/>
        <v>8000000</v>
      </c>
      <c r="K510" s="48"/>
      <c r="L510" s="48"/>
      <c r="M510" s="48"/>
      <c r="N510" s="48"/>
    </row>
    <row r="511" spans="1:15" ht="13.5" customHeight="1">
      <c r="A511" s="120"/>
      <c r="B511" s="224"/>
      <c r="C511" s="118" t="s">
        <v>104</v>
      </c>
      <c r="D511" s="131"/>
      <c r="E511" s="118"/>
      <c r="F511" s="118" t="s">
        <v>105</v>
      </c>
      <c r="G511" s="118" t="s">
        <v>106</v>
      </c>
      <c r="H511" s="120">
        <v>1</v>
      </c>
      <c r="I511" s="20">
        <v>3500000</v>
      </c>
      <c r="J511" s="20">
        <f t="shared" ref="J511:J512" si="59">I511</f>
        <v>3500000</v>
      </c>
      <c r="K511" s="48"/>
      <c r="L511" s="48"/>
      <c r="M511" s="48"/>
      <c r="N511" s="48"/>
    </row>
    <row r="512" spans="1:15" ht="13.5" customHeight="1">
      <c r="A512" s="120"/>
      <c r="B512" s="224"/>
      <c r="C512" s="118" t="s">
        <v>109</v>
      </c>
      <c r="D512" s="131"/>
      <c r="E512" s="118"/>
      <c r="F512" s="118" t="s">
        <v>107</v>
      </c>
      <c r="G512" s="118"/>
      <c r="H512" s="120">
        <v>1</v>
      </c>
      <c r="I512" s="20">
        <v>995000</v>
      </c>
      <c r="J512" s="20">
        <f t="shared" si="59"/>
        <v>995000</v>
      </c>
      <c r="K512" s="48"/>
      <c r="L512" s="48"/>
      <c r="M512" s="48"/>
      <c r="N512" s="48"/>
    </row>
    <row r="513" spans="1:14" ht="13.5" customHeight="1">
      <c r="A513" s="120"/>
      <c r="B513" s="224"/>
      <c r="C513" s="118" t="s">
        <v>110</v>
      </c>
      <c r="D513" s="131"/>
      <c r="E513" s="118"/>
      <c r="F513" s="118" t="s">
        <v>108</v>
      </c>
      <c r="G513" s="118"/>
      <c r="H513" s="120">
        <v>2</v>
      </c>
      <c r="I513" s="20">
        <v>600000</v>
      </c>
      <c r="J513" s="20">
        <f>I513*H513</f>
        <v>1200000</v>
      </c>
      <c r="K513" s="48"/>
      <c r="L513" s="48"/>
      <c r="M513" s="48"/>
      <c r="N513" s="48"/>
    </row>
    <row r="514" spans="1:14" ht="13.5" customHeight="1">
      <c r="A514" s="120"/>
      <c r="B514" s="224"/>
      <c r="C514" s="118"/>
      <c r="D514" s="131"/>
      <c r="E514" s="118"/>
      <c r="F514" s="118" t="s">
        <v>170</v>
      </c>
      <c r="G514" s="118" t="s">
        <v>255</v>
      </c>
      <c r="H514" s="120">
        <v>1</v>
      </c>
      <c r="I514" s="20">
        <v>5000000</v>
      </c>
      <c r="J514" s="20">
        <f>I514*H514</f>
        <v>5000000</v>
      </c>
      <c r="K514" s="48"/>
      <c r="L514" s="48"/>
      <c r="M514" s="48"/>
      <c r="N514" s="48"/>
    </row>
    <row r="515" spans="1:14" ht="13.5" customHeight="1">
      <c r="A515" s="120"/>
      <c r="B515" s="224"/>
      <c r="C515" s="118"/>
      <c r="D515" s="131"/>
      <c r="E515" s="118"/>
      <c r="F515" s="118" t="s">
        <v>30</v>
      </c>
      <c r="G515" s="118"/>
      <c r="H515" s="120">
        <v>2</v>
      </c>
      <c r="I515" s="20">
        <f>5000000+425000</f>
        <v>5425000</v>
      </c>
      <c r="J515" s="20">
        <f>I515*H515</f>
        <v>10850000</v>
      </c>
      <c r="K515" s="48"/>
      <c r="L515" s="48"/>
      <c r="M515" s="48"/>
      <c r="N515" s="48"/>
    </row>
    <row r="516" spans="1:14" ht="13.5" customHeight="1">
      <c r="A516" s="120"/>
      <c r="B516" s="224"/>
      <c r="C516" s="196" t="s">
        <v>248</v>
      </c>
      <c r="D516" s="196" t="s">
        <v>416</v>
      </c>
      <c r="E516" s="244">
        <v>44327</v>
      </c>
      <c r="F516" s="118" t="s">
        <v>289</v>
      </c>
      <c r="G516" s="118"/>
      <c r="H516" s="120">
        <v>4</v>
      </c>
      <c r="I516" s="20">
        <v>2172375</v>
      </c>
      <c r="J516" s="20">
        <f>I516*H516</f>
        <v>8689500</v>
      </c>
      <c r="K516" s="48"/>
      <c r="L516" s="48"/>
      <c r="M516" s="48"/>
      <c r="N516" s="48"/>
    </row>
    <row r="517" spans="1:14" ht="13.5" customHeight="1">
      <c r="A517" s="120"/>
      <c r="B517" s="224"/>
      <c r="C517" s="196"/>
      <c r="D517" s="196"/>
      <c r="E517" s="244"/>
      <c r="F517" s="118" t="s">
        <v>365</v>
      </c>
      <c r="G517" s="118"/>
      <c r="H517" s="120">
        <v>1</v>
      </c>
      <c r="I517" s="20">
        <v>4487500</v>
      </c>
      <c r="J517" s="20">
        <f t="shared" ref="J517:J521" si="60">I517*H517</f>
        <v>4487500</v>
      </c>
      <c r="K517" s="48"/>
      <c r="L517" s="48"/>
      <c r="M517" s="48"/>
      <c r="N517" s="48"/>
    </row>
    <row r="518" spans="1:14" ht="13.5" customHeight="1">
      <c r="A518" s="120"/>
      <c r="B518" s="224"/>
      <c r="C518" s="196"/>
      <c r="D518" s="196"/>
      <c r="E518" s="244"/>
      <c r="F518" s="118" t="s">
        <v>46</v>
      </c>
      <c r="G518" s="118"/>
      <c r="H518" s="120">
        <v>4</v>
      </c>
      <c r="I518" s="20">
        <v>1990875</v>
      </c>
      <c r="J518" s="20">
        <f t="shared" si="60"/>
        <v>7963500</v>
      </c>
      <c r="K518" s="48"/>
      <c r="L518" s="48"/>
      <c r="M518" s="48"/>
      <c r="N518" s="48"/>
    </row>
    <row r="519" spans="1:14" ht="13.5" customHeight="1">
      <c r="A519" s="120"/>
      <c r="B519" s="224"/>
      <c r="C519" s="196"/>
      <c r="D519" s="196"/>
      <c r="E519" s="244"/>
      <c r="F519" s="190" t="s">
        <v>152</v>
      </c>
      <c r="G519" s="118" t="s">
        <v>82</v>
      </c>
      <c r="H519" s="120">
        <v>69</v>
      </c>
      <c r="I519" s="20">
        <v>126480</v>
      </c>
      <c r="J519" s="20">
        <f t="shared" si="60"/>
        <v>8727120</v>
      </c>
      <c r="K519" s="48"/>
      <c r="L519" s="48"/>
      <c r="M519" s="48"/>
      <c r="N519" s="48"/>
    </row>
    <row r="520" spans="1:14" ht="13.5" customHeight="1">
      <c r="A520" s="120"/>
      <c r="B520" s="224"/>
      <c r="C520" s="196"/>
      <c r="D520" s="196"/>
      <c r="E520" s="244"/>
      <c r="F520" s="192"/>
      <c r="G520" s="118"/>
      <c r="H520" s="120">
        <v>1</v>
      </c>
      <c r="I520" s="20">
        <v>126880</v>
      </c>
      <c r="J520" s="20">
        <f t="shared" si="60"/>
        <v>126880</v>
      </c>
      <c r="K520" s="48"/>
      <c r="L520" s="48"/>
      <c r="M520" s="48"/>
      <c r="N520" s="48"/>
    </row>
    <row r="521" spans="1:14" ht="13.5" customHeight="1">
      <c r="A521" s="120"/>
      <c r="B521" s="224"/>
      <c r="C521" s="196"/>
      <c r="D521" s="196"/>
      <c r="E521" s="244"/>
      <c r="F521" s="118" t="s">
        <v>153</v>
      </c>
      <c r="G521" s="118" t="s">
        <v>366</v>
      </c>
      <c r="H521" s="120">
        <v>1</v>
      </c>
      <c r="I521" s="20">
        <v>4900000</v>
      </c>
      <c r="J521" s="20">
        <f t="shared" si="60"/>
        <v>4900000</v>
      </c>
      <c r="K521" s="48"/>
      <c r="L521" s="48"/>
      <c r="M521" s="48"/>
      <c r="N521" s="48"/>
    </row>
    <row r="522" spans="1:14" ht="13.5" customHeight="1">
      <c r="A522" s="120"/>
      <c r="B522" s="224"/>
      <c r="C522" s="196"/>
      <c r="D522" s="196"/>
      <c r="E522" s="244"/>
      <c r="F522" s="118" t="s">
        <v>85</v>
      </c>
      <c r="G522" s="118" t="s">
        <v>86</v>
      </c>
      <c r="H522" s="120">
        <v>1</v>
      </c>
      <c r="I522" s="20">
        <v>3371000</v>
      </c>
      <c r="J522" s="20">
        <f>I522</f>
        <v>3371000</v>
      </c>
      <c r="K522" s="48"/>
      <c r="L522" s="48"/>
      <c r="M522" s="48"/>
      <c r="N522" s="48"/>
    </row>
    <row r="523" spans="1:14" ht="13.5" customHeight="1">
      <c r="A523" s="120"/>
      <c r="B523" s="224"/>
      <c r="C523" s="196"/>
      <c r="D523" s="196"/>
      <c r="E523" s="244"/>
      <c r="F523" s="196" t="s">
        <v>87</v>
      </c>
      <c r="G523" s="118" t="s">
        <v>88</v>
      </c>
      <c r="H523" s="120">
        <v>2</v>
      </c>
      <c r="I523" s="20">
        <f>3450000+450000</f>
        <v>3900000</v>
      </c>
      <c r="J523" s="20">
        <f>I523*H523</f>
        <v>7800000</v>
      </c>
      <c r="K523" s="48"/>
      <c r="L523" s="48"/>
      <c r="M523" s="48"/>
      <c r="N523" s="48"/>
    </row>
    <row r="524" spans="1:14" ht="13.5" customHeight="1">
      <c r="A524" s="120"/>
      <c r="B524" s="224"/>
      <c r="C524" s="196"/>
      <c r="D524" s="196"/>
      <c r="E524" s="244"/>
      <c r="F524" s="196"/>
      <c r="G524" s="118" t="s">
        <v>89</v>
      </c>
      <c r="H524" s="120">
        <v>2</v>
      </c>
      <c r="I524" s="20">
        <v>3450000</v>
      </c>
      <c r="J524" s="20">
        <f t="shared" ref="J524:J537" si="61">I524*H524</f>
        <v>6900000</v>
      </c>
      <c r="K524" s="48"/>
      <c r="L524" s="48"/>
      <c r="M524" s="48"/>
      <c r="N524" s="48"/>
    </row>
    <row r="525" spans="1:14" ht="13.5" customHeight="1">
      <c r="A525" s="120"/>
      <c r="B525" s="224"/>
      <c r="C525" s="196"/>
      <c r="D525" s="196"/>
      <c r="E525" s="244"/>
      <c r="F525" s="118" t="s">
        <v>90</v>
      </c>
      <c r="G525" s="118" t="s">
        <v>91</v>
      </c>
      <c r="H525" s="120">
        <v>2</v>
      </c>
      <c r="I525" s="20">
        <v>2042250</v>
      </c>
      <c r="J525" s="20">
        <f t="shared" si="61"/>
        <v>4084500</v>
      </c>
      <c r="K525" s="48"/>
      <c r="L525" s="48"/>
      <c r="M525" s="48"/>
      <c r="N525" s="48"/>
    </row>
    <row r="526" spans="1:14" ht="13.5" customHeight="1">
      <c r="A526" s="120"/>
      <c r="B526" s="224"/>
      <c r="C526" s="118"/>
      <c r="D526" s="118"/>
      <c r="E526" s="148"/>
      <c r="F526" s="118" t="s">
        <v>94</v>
      </c>
      <c r="G526" s="118"/>
      <c r="H526" s="120">
        <v>1</v>
      </c>
      <c r="I526" s="20">
        <v>5000000</v>
      </c>
      <c r="J526" s="20">
        <f t="shared" si="61"/>
        <v>5000000</v>
      </c>
      <c r="K526" s="48"/>
      <c r="L526" s="48"/>
      <c r="M526" s="48"/>
      <c r="N526" s="48"/>
    </row>
    <row r="527" spans="1:14" ht="13.5" customHeight="1">
      <c r="A527" s="120"/>
      <c r="B527" s="224"/>
      <c r="C527" s="118"/>
      <c r="D527" s="118"/>
      <c r="E527" s="148"/>
      <c r="F527" s="118" t="s">
        <v>96</v>
      </c>
      <c r="G527" s="118"/>
      <c r="H527" s="120">
        <v>1</v>
      </c>
      <c r="I527" s="20">
        <v>6990500</v>
      </c>
      <c r="J527" s="20">
        <f t="shared" si="61"/>
        <v>6990500</v>
      </c>
      <c r="K527" s="48"/>
      <c r="L527" s="48"/>
      <c r="M527" s="48"/>
      <c r="N527" s="48"/>
    </row>
    <row r="528" spans="1:14" ht="13.5" customHeight="1">
      <c r="A528" s="120"/>
      <c r="B528" s="224"/>
      <c r="C528" s="118"/>
      <c r="D528" s="118"/>
      <c r="E528" s="148"/>
      <c r="F528" s="118" t="s">
        <v>382</v>
      </c>
      <c r="G528" s="118"/>
      <c r="H528" s="120">
        <v>1</v>
      </c>
      <c r="I528" s="20">
        <v>300000</v>
      </c>
      <c r="J528" s="20">
        <f t="shared" si="61"/>
        <v>300000</v>
      </c>
      <c r="K528" s="48"/>
      <c r="L528" s="48"/>
      <c r="M528" s="48"/>
      <c r="N528" s="48"/>
    </row>
    <row r="529" spans="1:15" ht="13.5" customHeight="1">
      <c r="A529" s="120"/>
      <c r="B529" s="224"/>
      <c r="C529" s="118"/>
      <c r="D529" s="118"/>
      <c r="E529" s="148"/>
      <c r="F529" s="118" t="s">
        <v>279</v>
      </c>
      <c r="G529" s="118"/>
      <c r="H529" s="120">
        <v>1</v>
      </c>
      <c r="I529" s="20">
        <v>5000000</v>
      </c>
      <c r="J529" s="20">
        <f t="shared" si="61"/>
        <v>5000000</v>
      </c>
      <c r="K529" s="48"/>
      <c r="L529" s="48"/>
      <c r="M529" s="48"/>
      <c r="N529" s="48"/>
    </row>
    <row r="530" spans="1:15" ht="13.5" customHeight="1">
      <c r="A530" s="120"/>
      <c r="B530" s="224"/>
      <c r="C530" s="118"/>
      <c r="D530" s="118"/>
      <c r="E530" s="148"/>
      <c r="F530" s="118" t="s">
        <v>417</v>
      </c>
      <c r="G530" s="118"/>
      <c r="H530" s="120">
        <v>1</v>
      </c>
      <c r="I530" s="20">
        <f>59200000+2700000</f>
        <v>61900000</v>
      </c>
      <c r="J530" s="20">
        <f t="shared" si="61"/>
        <v>61900000</v>
      </c>
      <c r="K530" s="48"/>
      <c r="L530" s="48"/>
      <c r="M530" s="48"/>
      <c r="N530" s="48"/>
    </row>
    <row r="531" spans="1:15" ht="13.5" customHeight="1">
      <c r="A531" s="120"/>
      <c r="B531" s="224"/>
      <c r="C531" s="118"/>
      <c r="D531" s="131"/>
      <c r="E531" s="118"/>
      <c r="F531" s="118" t="s">
        <v>418</v>
      </c>
      <c r="G531" s="118"/>
      <c r="H531" s="120">
        <v>1</v>
      </c>
      <c r="I531" s="20">
        <f>65640263+2700000</f>
        <v>68340263</v>
      </c>
      <c r="J531" s="20">
        <f t="shared" si="61"/>
        <v>68340263</v>
      </c>
      <c r="K531" s="48"/>
      <c r="L531" s="48"/>
      <c r="M531" s="48"/>
      <c r="N531" s="48"/>
    </row>
    <row r="532" spans="1:15" ht="13.5" customHeight="1">
      <c r="A532" s="120"/>
      <c r="B532" s="224"/>
      <c r="C532" s="118"/>
      <c r="D532" s="131"/>
      <c r="E532" s="118"/>
      <c r="F532" s="118" t="s">
        <v>420</v>
      </c>
      <c r="G532" s="118"/>
      <c r="H532" s="120">
        <v>1</v>
      </c>
      <c r="I532" s="20">
        <f>41900000+3050000</f>
        <v>44950000</v>
      </c>
      <c r="J532" s="20">
        <f t="shared" si="61"/>
        <v>44950000</v>
      </c>
      <c r="K532" s="48"/>
      <c r="L532" s="48"/>
      <c r="M532" s="48"/>
      <c r="N532" s="48"/>
    </row>
    <row r="533" spans="1:15" ht="13.5" customHeight="1">
      <c r="A533" s="120"/>
      <c r="B533" s="224"/>
      <c r="C533" s="118"/>
      <c r="D533" s="131"/>
      <c r="E533" s="118"/>
      <c r="F533" s="118" t="s">
        <v>419</v>
      </c>
      <c r="G533" s="118"/>
      <c r="H533" s="120">
        <v>1</v>
      </c>
      <c r="I533" s="20">
        <f>52300000+2400000</f>
        <v>54700000</v>
      </c>
      <c r="J533" s="20">
        <f t="shared" si="61"/>
        <v>54700000</v>
      </c>
      <c r="K533" s="48"/>
      <c r="L533" s="48"/>
      <c r="M533" s="48"/>
      <c r="N533" s="48"/>
    </row>
    <row r="534" spans="1:15" ht="13.5" customHeight="1">
      <c r="A534" s="120"/>
      <c r="B534" s="224"/>
      <c r="C534" s="118"/>
      <c r="D534" s="131"/>
      <c r="E534" s="118"/>
      <c r="F534" s="133" t="s">
        <v>421</v>
      </c>
      <c r="G534" s="118"/>
      <c r="H534" s="120">
        <v>1</v>
      </c>
      <c r="I534" s="20">
        <f>95700000+2400000</f>
        <v>98100000</v>
      </c>
      <c r="J534" s="20">
        <f t="shared" si="61"/>
        <v>98100000</v>
      </c>
      <c r="K534" s="48"/>
      <c r="L534" s="48"/>
      <c r="M534" s="48"/>
      <c r="N534" s="48"/>
    </row>
    <row r="535" spans="1:15" ht="13.5" customHeight="1">
      <c r="A535" s="120"/>
      <c r="B535" s="224"/>
      <c r="C535" s="118"/>
      <c r="D535" s="131"/>
      <c r="E535" s="118"/>
      <c r="F535" s="184" t="s">
        <v>422</v>
      </c>
      <c r="G535" s="118"/>
      <c r="H535" s="120">
        <v>1</v>
      </c>
      <c r="I535" s="20">
        <f>31900000+2400000</f>
        <v>34300000</v>
      </c>
      <c r="J535" s="20">
        <f t="shared" si="61"/>
        <v>34300000</v>
      </c>
      <c r="K535" s="48"/>
      <c r="L535" s="48"/>
      <c r="M535" s="48"/>
      <c r="N535" s="48"/>
    </row>
    <row r="536" spans="1:15" ht="13.5" customHeight="1">
      <c r="A536" s="120"/>
      <c r="B536" s="224"/>
      <c r="C536" s="118"/>
      <c r="D536" s="131"/>
      <c r="E536" s="118"/>
      <c r="F536" s="184" t="s">
        <v>423</v>
      </c>
      <c r="G536" s="118"/>
      <c r="H536" s="120">
        <v>1</v>
      </c>
      <c r="I536" s="168">
        <f>41481657+2400000</f>
        <v>43881657</v>
      </c>
      <c r="J536" s="20">
        <f t="shared" si="61"/>
        <v>43881657</v>
      </c>
      <c r="K536" s="48"/>
      <c r="L536" s="48"/>
      <c r="M536" s="48"/>
      <c r="N536" s="48"/>
    </row>
    <row r="537" spans="1:15" ht="13.5" customHeight="1">
      <c r="A537" s="132"/>
      <c r="B537" s="225"/>
      <c r="C537" s="119"/>
      <c r="D537" s="166"/>
      <c r="E537" s="119"/>
      <c r="F537" s="184" t="s">
        <v>424</v>
      </c>
      <c r="G537" s="133"/>
      <c r="H537" s="132">
        <v>1</v>
      </c>
      <c r="I537" s="54">
        <f>31900000+2400000</f>
        <v>34300000</v>
      </c>
      <c r="J537" s="54">
        <f t="shared" si="61"/>
        <v>34300000</v>
      </c>
      <c r="K537" s="48"/>
      <c r="L537" s="48"/>
      <c r="M537" s="48"/>
      <c r="N537" s="48"/>
    </row>
    <row r="538" spans="1:15" s="40" customFormat="1" ht="13.5" customHeight="1">
      <c r="A538" s="135"/>
      <c r="B538" s="135"/>
      <c r="C538" s="135"/>
      <c r="D538" s="123"/>
      <c r="E538" s="135"/>
      <c r="F538" s="136"/>
      <c r="G538" s="136"/>
      <c r="H538" s="135"/>
      <c r="I538" s="138"/>
      <c r="J538" s="138">
        <f>SUM(J500:J537)</f>
        <v>607947420</v>
      </c>
      <c r="K538" s="48"/>
      <c r="L538" s="48"/>
      <c r="M538" s="48"/>
      <c r="N538" s="48"/>
      <c r="O538" s="178"/>
    </row>
    <row r="539" spans="1:15" s="117" customFormat="1" ht="26.25" customHeight="1">
      <c r="A539" s="169"/>
      <c r="B539" s="247" t="s">
        <v>429</v>
      </c>
      <c r="C539" s="248"/>
      <c r="D539" s="249"/>
      <c r="E539" s="170"/>
      <c r="F539" s="171"/>
      <c r="G539" s="171"/>
      <c r="H539" s="170"/>
      <c r="I539" s="172">
        <f>SUM(I8:I538)</f>
        <v>8363289254</v>
      </c>
      <c r="J539" s="173">
        <f>J538+J499+J459+J425+J388+J348+J309+J272+J241+J206+J165+J131+J91+J54+J24</f>
        <v>8925814884</v>
      </c>
      <c r="K539" s="180"/>
      <c r="L539" s="180"/>
      <c r="M539" s="180"/>
      <c r="N539" s="180"/>
    </row>
    <row r="540" spans="1:15">
      <c r="A540" s="129"/>
      <c r="B540" s="129"/>
      <c r="C540" s="129"/>
      <c r="D540" s="174"/>
      <c r="E540" s="129"/>
      <c r="F540" s="147"/>
      <c r="G540" s="146"/>
      <c r="H540" s="129"/>
      <c r="I540" s="167"/>
      <c r="J540" s="167">
        <f>J539-8925814884</f>
        <v>0</v>
      </c>
    </row>
    <row r="542" spans="1:15">
      <c r="H542" s="182" t="s">
        <v>432</v>
      </c>
    </row>
    <row r="543" spans="1:15">
      <c r="H543" s="182"/>
    </row>
    <row r="544" spans="1:15">
      <c r="H544" s="182"/>
    </row>
    <row r="545" spans="8:8">
      <c r="H545" s="182"/>
    </row>
    <row r="546" spans="8:8">
      <c r="H546" s="183" t="s">
        <v>433</v>
      </c>
    </row>
    <row r="547" spans="8:8">
      <c r="H547" s="182" t="s">
        <v>434</v>
      </c>
    </row>
  </sheetData>
  <mergeCells count="240">
    <mergeCell ref="B539:D539"/>
    <mergeCell ref="D505:D509"/>
    <mergeCell ref="E505:E509"/>
    <mergeCell ref="C516:C525"/>
    <mergeCell ref="D516:D525"/>
    <mergeCell ref="E516:E525"/>
    <mergeCell ref="F519:F520"/>
    <mergeCell ref="F523:F524"/>
    <mergeCell ref="E475:E485"/>
    <mergeCell ref="F475:F476"/>
    <mergeCell ref="F483:F484"/>
    <mergeCell ref="C492:C498"/>
    <mergeCell ref="B500:B537"/>
    <mergeCell ref="C500:C504"/>
    <mergeCell ref="D500:D504"/>
    <mergeCell ref="E500:E504"/>
    <mergeCell ref="F501:F502"/>
    <mergeCell ref="C505:C509"/>
    <mergeCell ref="C452:C458"/>
    <mergeCell ref="B460:B498"/>
    <mergeCell ref="C460:C462"/>
    <mergeCell ref="D460:D462"/>
    <mergeCell ref="E460:E462"/>
    <mergeCell ref="C463:C472"/>
    <mergeCell ref="D463:D472"/>
    <mergeCell ref="E463:E472"/>
    <mergeCell ref="C475:C485"/>
    <mergeCell ref="D475:D485"/>
    <mergeCell ref="B426:B458"/>
    <mergeCell ref="D432:D436"/>
    <mergeCell ref="E432:E436"/>
    <mergeCell ref="C438:C444"/>
    <mergeCell ref="D438:D444"/>
    <mergeCell ref="E438:E444"/>
    <mergeCell ref="F442:F443"/>
    <mergeCell ref="F400:F401"/>
    <mergeCell ref="F404:F405"/>
    <mergeCell ref="F408:F409"/>
    <mergeCell ref="C418:C424"/>
    <mergeCell ref="C426:C430"/>
    <mergeCell ref="D426:D430"/>
    <mergeCell ref="E426:E430"/>
    <mergeCell ref="F427:F428"/>
    <mergeCell ref="C432:C436"/>
    <mergeCell ref="B389:B424"/>
    <mergeCell ref="C389:C394"/>
    <mergeCell ref="D389:D394"/>
    <mergeCell ref="E389:E394"/>
    <mergeCell ref="C395:C398"/>
    <mergeCell ref="D395:D398"/>
    <mergeCell ref="E395:E398"/>
    <mergeCell ref="C400:C410"/>
    <mergeCell ref="D400:D410"/>
    <mergeCell ref="E400:E410"/>
    <mergeCell ref="D367:D376"/>
    <mergeCell ref="F373:F374"/>
    <mergeCell ref="C381:C382"/>
    <mergeCell ref="D381:D382"/>
    <mergeCell ref="E381:E382"/>
    <mergeCell ref="C383:C387"/>
    <mergeCell ref="C340:C347"/>
    <mergeCell ref="B349:B387"/>
    <mergeCell ref="C349:C353"/>
    <mergeCell ref="D349:D353"/>
    <mergeCell ref="E349:E353"/>
    <mergeCell ref="F350:F351"/>
    <mergeCell ref="C355:C365"/>
    <mergeCell ref="D355:D365"/>
    <mergeCell ref="E355:E365"/>
    <mergeCell ref="C367:C376"/>
    <mergeCell ref="D322:D330"/>
    <mergeCell ref="E322:E330"/>
    <mergeCell ref="F328:F329"/>
    <mergeCell ref="C331:C332"/>
    <mergeCell ref="D331:D332"/>
    <mergeCell ref="E331:E332"/>
    <mergeCell ref="C302:C308"/>
    <mergeCell ref="B310:B347"/>
    <mergeCell ref="C310:C314"/>
    <mergeCell ref="D310:D314"/>
    <mergeCell ref="E310:E314"/>
    <mergeCell ref="F311:F312"/>
    <mergeCell ref="C315:C320"/>
    <mergeCell ref="D315:D320"/>
    <mergeCell ref="E315:E320"/>
    <mergeCell ref="C322:C330"/>
    <mergeCell ref="D285:D293"/>
    <mergeCell ref="E285:E293"/>
    <mergeCell ref="F291:F292"/>
    <mergeCell ref="C294:C295"/>
    <mergeCell ref="D294:D295"/>
    <mergeCell ref="E294:E295"/>
    <mergeCell ref="C267:C271"/>
    <mergeCell ref="B273:B308"/>
    <mergeCell ref="C273:C277"/>
    <mergeCell ref="D273:D277"/>
    <mergeCell ref="E273:E277"/>
    <mergeCell ref="F274:F275"/>
    <mergeCell ref="C278:C284"/>
    <mergeCell ref="D278:D284"/>
    <mergeCell ref="E278:E284"/>
    <mergeCell ref="C285:C293"/>
    <mergeCell ref="B242:B271"/>
    <mergeCell ref="D250:D253"/>
    <mergeCell ref="E250:E253"/>
    <mergeCell ref="C256:C262"/>
    <mergeCell ref="D256:D262"/>
    <mergeCell ref="E256:E262"/>
    <mergeCell ref="F260:F261"/>
    <mergeCell ref="F219:F220"/>
    <mergeCell ref="C225:C228"/>
    <mergeCell ref="D225:D228"/>
    <mergeCell ref="E225:E228"/>
    <mergeCell ref="C234:C240"/>
    <mergeCell ref="C242:C249"/>
    <mergeCell ref="D242:D249"/>
    <mergeCell ref="E242:E249"/>
    <mergeCell ref="C250:C253"/>
    <mergeCell ref="B207:B240"/>
    <mergeCell ref="C207:C209"/>
    <mergeCell ref="D207:D209"/>
    <mergeCell ref="E207:E209"/>
    <mergeCell ref="C211:C212"/>
    <mergeCell ref="D211:D212"/>
    <mergeCell ref="E211:E212"/>
    <mergeCell ref="C213:C221"/>
    <mergeCell ref="D213:D221"/>
    <mergeCell ref="E213:E221"/>
    <mergeCell ref="F190:F191"/>
    <mergeCell ref="C161:C164"/>
    <mergeCell ref="B166:B205"/>
    <mergeCell ref="C166:C170"/>
    <mergeCell ref="D166:D170"/>
    <mergeCell ref="E166:E170"/>
    <mergeCell ref="F167:F168"/>
    <mergeCell ref="C171:C176"/>
    <mergeCell ref="D171:D176"/>
    <mergeCell ref="E171:E176"/>
    <mergeCell ref="C177:C182"/>
    <mergeCell ref="C193:C194"/>
    <mergeCell ref="D193:D194"/>
    <mergeCell ref="E193:E194"/>
    <mergeCell ref="C200:C205"/>
    <mergeCell ref="D200:D205"/>
    <mergeCell ref="E200:E205"/>
    <mergeCell ref="D177:D182"/>
    <mergeCell ref="E177:E182"/>
    <mergeCell ref="C184:C192"/>
    <mergeCell ref="D184:D192"/>
    <mergeCell ref="E184:E192"/>
    <mergeCell ref="B132:B164"/>
    <mergeCell ref="C132:C136"/>
    <mergeCell ref="C159:C160"/>
    <mergeCell ref="C143:C144"/>
    <mergeCell ref="D143:D144"/>
    <mergeCell ref="E143:E144"/>
    <mergeCell ref="C145:C146"/>
    <mergeCell ref="D145:D146"/>
    <mergeCell ref="E145:E146"/>
    <mergeCell ref="F115:F116"/>
    <mergeCell ref="C118:C119"/>
    <mergeCell ref="D118:D119"/>
    <mergeCell ref="E118:E119"/>
    <mergeCell ref="C120:C121"/>
    <mergeCell ref="D120:D121"/>
    <mergeCell ref="E120:E121"/>
    <mergeCell ref="D132:D136"/>
    <mergeCell ref="E132:E136"/>
    <mergeCell ref="C137:C142"/>
    <mergeCell ref="D137:D142"/>
    <mergeCell ref="E137:E142"/>
    <mergeCell ref="F145:F146"/>
    <mergeCell ref="C148:C154"/>
    <mergeCell ref="D148:D154"/>
    <mergeCell ref="E148:E154"/>
    <mergeCell ref="F153:F154"/>
    <mergeCell ref="B92:B130"/>
    <mergeCell ref="C92:C97"/>
    <mergeCell ref="D92:D97"/>
    <mergeCell ref="E92:E97"/>
    <mergeCell ref="C98:C106"/>
    <mergeCell ref="D98:D106"/>
    <mergeCell ref="E98:E106"/>
    <mergeCell ref="C109:C117"/>
    <mergeCell ref="D109:D117"/>
    <mergeCell ref="E109:E117"/>
    <mergeCell ref="C125:C130"/>
    <mergeCell ref="D125:D130"/>
    <mergeCell ref="E125:E130"/>
    <mergeCell ref="B55:B90"/>
    <mergeCell ref="C55:C56"/>
    <mergeCell ref="D55:D56"/>
    <mergeCell ref="E55:E56"/>
    <mergeCell ref="F55:F56"/>
    <mergeCell ref="C57:C59"/>
    <mergeCell ref="D57:D59"/>
    <mergeCell ref="E57:E59"/>
    <mergeCell ref="C60:C64"/>
    <mergeCell ref="D60:D64"/>
    <mergeCell ref="F78:F79"/>
    <mergeCell ref="C81:C83"/>
    <mergeCell ref="D81:D83"/>
    <mergeCell ref="E81:E83"/>
    <mergeCell ref="C85:C90"/>
    <mergeCell ref="D85:D90"/>
    <mergeCell ref="E85:E90"/>
    <mergeCell ref="E60:E64"/>
    <mergeCell ref="C66:C67"/>
    <mergeCell ref="D66:D67"/>
    <mergeCell ref="E66:E67"/>
    <mergeCell ref="C73:C80"/>
    <mergeCell ref="D73:D80"/>
    <mergeCell ref="E73:E80"/>
    <mergeCell ref="D35:D42"/>
    <mergeCell ref="E35:E42"/>
    <mergeCell ref="F40:F41"/>
    <mergeCell ref="C43:C44"/>
    <mergeCell ref="D43:D44"/>
    <mergeCell ref="E43:E44"/>
    <mergeCell ref="F14:F16"/>
    <mergeCell ref="F19:F20"/>
    <mergeCell ref="B25:B53"/>
    <mergeCell ref="C25:C30"/>
    <mergeCell ref="D25:D30"/>
    <mergeCell ref="E25:E30"/>
    <mergeCell ref="C31:C34"/>
    <mergeCell ref="D31:D34"/>
    <mergeCell ref="E31:E34"/>
    <mergeCell ref="C35:C42"/>
    <mergeCell ref="A1:J1"/>
    <mergeCell ref="A2:J2"/>
    <mergeCell ref="A5:A6"/>
    <mergeCell ref="B5:B6"/>
    <mergeCell ref="C5:E5"/>
    <mergeCell ref="F5:J5"/>
    <mergeCell ref="B8:B23"/>
    <mergeCell ref="C10:C20"/>
    <mergeCell ref="D10:D20"/>
    <mergeCell ref="E10:E20"/>
    <mergeCell ref="F10:F11"/>
  </mergeCells>
  <printOptions horizontalCentered="1"/>
  <pageMargins left="0.25" right="0.70866141732283505" top="0.74803149606299202" bottom="0.74803149606299202" header="0.31496062992126" footer="0.31496062992126"/>
  <pageSetup paperSize="346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O538"/>
  <sheetViews>
    <sheetView view="pageBreakPreview" topLeftCell="A4" zoomScale="78" zoomScaleNormal="75" zoomScaleSheetLayoutView="78" workbookViewId="0">
      <pane xSplit="3" ySplit="2" topLeftCell="F513" activePane="bottomRight" state="frozen"/>
      <selection activeCell="A4" sqref="A4"/>
      <selection pane="topRight" activeCell="D4" sqref="D4"/>
      <selection pane="bottomLeft" activeCell="A6" sqref="A6"/>
      <selection pane="bottomRight" activeCell="B54" sqref="B54:B89"/>
    </sheetView>
  </sheetViews>
  <sheetFormatPr defaultRowHeight="15"/>
  <cols>
    <col min="1" max="1" width="9.140625" style="24"/>
    <col min="2" max="2" width="21.7109375" style="24" customWidth="1"/>
    <col min="3" max="3" width="29.140625" style="24" customWidth="1"/>
    <col min="4" max="4" width="36" style="64" customWidth="1"/>
    <col min="5" max="5" width="12.85546875" style="24" customWidth="1"/>
    <col min="6" max="6" width="34.5703125" style="25" customWidth="1"/>
    <col min="7" max="7" width="31" style="24" customWidth="1"/>
    <col min="8" max="8" width="8" style="24" customWidth="1"/>
    <col min="9" max="9" width="14.28515625" style="65" bestFit="1" customWidth="1"/>
    <col min="10" max="10" width="14.7109375" style="65" customWidth="1"/>
    <col min="11" max="11" width="15.5703125" style="65" customWidth="1"/>
    <col min="12" max="12" width="14.5703125" style="24" customWidth="1"/>
    <col min="13" max="13" width="15.5703125" style="24" customWidth="1"/>
    <col min="14" max="14" width="17" style="24" customWidth="1"/>
    <col min="15" max="15" width="13.85546875" style="24" bestFit="1" customWidth="1"/>
    <col min="16" max="16384" width="9.140625" style="24"/>
  </cols>
  <sheetData>
    <row r="4" spans="1:12" s="26" customFormat="1" ht="28.5" customHeight="1">
      <c r="A4" s="284" t="s">
        <v>0</v>
      </c>
      <c r="B4" s="284" t="s">
        <v>112</v>
      </c>
      <c r="C4" s="284" t="s">
        <v>10</v>
      </c>
      <c r="D4" s="284"/>
      <c r="E4" s="284"/>
      <c r="F4" s="285" t="s">
        <v>16</v>
      </c>
      <c r="G4" s="286"/>
      <c r="H4" s="286"/>
      <c r="I4" s="286"/>
      <c r="J4" s="286"/>
      <c r="K4" s="287"/>
      <c r="L4" s="284" t="s">
        <v>133</v>
      </c>
    </row>
    <row r="5" spans="1:12" s="26" customFormat="1" ht="32.25" customHeight="1">
      <c r="A5" s="284"/>
      <c r="B5" s="284"/>
      <c r="C5" s="3" t="s">
        <v>17</v>
      </c>
      <c r="D5" s="4" t="s">
        <v>18</v>
      </c>
      <c r="E5" s="3" t="s">
        <v>11</v>
      </c>
      <c r="F5" s="5" t="s">
        <v>12</v>
      </c>
      <c r="G5" s="5" t="s">
        <v>13</v>
      </c>
      <c r="H5" s="5" t="s">
        <v>41</v>
      </c>
      <c r="I5" s="6" t="s">
        <v>14</v>
      </c>
      <c r="J5" s="6" t="s">
        <v>15</v>
      </c>
      <c r="K5" s="6" t="s">
        <v>115</v>
      </c>
      <c r="L5" s="284"/>
    </row>
    <row r="6" spans="1:12" s="26" customFormat="1">
      <c r="A6" s="7">
        <v>1</v>
      </c>
      <c r="B6" s="7">
        <v>2</v>
      </c>
      <c r="C6" s="7">
        <v>3</v>
      </c>
      <c r="D6" s="8">
        <v>4</v>
      </c>
      <c r="E6" s="7">
        <v>5</v>
      </c>
      <c r="F6" s="9">
        <v>6</v>
      </c>
      <c r="G6" s="7">
        <v>7</v>
      </c>
      <c r="H6" s="7"/>
      <c r="I6" s="10">
        <v>8</v>
      </c>
      <c r="J6" s="10">
        <v>9</v>
      </c>
      <c r="K6" s="10">
        <v>10</v>
      </c>
      <c r="L6" s="7">
        <v>11</v>
      </c>
    </row>
    <row r="7" spans="1:12" ht="22.5">
      <c r="A7" s="11"/>
      <c r="B7" s="276" t="s">
        <v>19</v>
      </c>
      <c r="C7" s="11" t="s">
        <v>22</v>
      </c>
      <c r="D7" s="27" t="s">
        <v>23</v>
      </c>
      <c r="E7" s="28">
        <v>44176</v>
      </c>
      <c r="F7" s="11" t="s">
        <v>20</v>
      </c>
      <c r="G7" s="11" t="s">
        <v>21</v>
      </c>
      <c r="H7" s="11">
        <v>1</v>
      </c>
      <c r="I7" s="29">
        <v>40800000</v>
      </c>
      <c r="J7" s="29">
        <f>I7</f>
        <v>40800000</v>
      </c>
      <c r="K7" s="29">
        <v>900000</v>
      </c>
      <c r="L7" s="11"/>
    </row>
    <row r="8" spans="1:12" ht="45">
      <c r="A8" s="12"/>
      <c r="B8" s="277"/>
      <c r="C8" s="12" t="s">
        <v>24</v>
      </c>
      <c r="D8" s="68" t="s">
        <v>25</v>
      </c>
      <c r="E8" s="30">
        <v>44176</v>
      </c>
      <c r="F8" s="12" t="s">
        <v>26</v>
      </c>
      <c r="G8" s="12" t="s">
        <v>27</v>
      </c>
      <c r="H8" s="12">
        <v>1</v>
      </c>
      <c r="I8" s="31">
        <v>9627000</v>
      </c>
      <c r="J8" s="31">
        <f>I8</f>
        <v>9627000</v>
      </c>
      <c r="K8" s="31"/>
      <c r="L8" s="12"/>
    </row>
    <row r="9" spans="1:12" ht="30" customHeight="1">
      <c r="A9" s="12"/>
      <c r="B9" s="277"/>
      <c r="C9" s="253" t="s">
        <v>28</v>
      </c>
      <c r="D9" s="253" t="s">
        <v>29</v>
      </c>
      <c r="E9" s="307">
        <v>44173</v>
      </c>
      <c r="F9" s="257" t="s">
        <v>30</v>
      </c>
      <c r="G9" s="12" t="s">
        <v>31</v>
      </c>
      <c r="H9" s="12">
        <v>1</v>
      </c>
      <c r="I9" s="31">
        <v>7000000</v>
      </c>
      <c r="J9" s="31">
        <f>I9</f>
        <v>7000000</v>
      </c>
      <c r="K9" s="31"/>
      <c r="L9" s="12"/>
    </row>
    <row r="10" spans="1:12">
      <c r="A10" s="12"/>
      <c r="B10" s="277"/>
      <c r="C10" s="254"/>
      <c r="D10" s="254"/>
      <c r="E10" s="308"/>
      <c r="F10" s="257"/>
      <c r="G10" s="12" t="s">
        <v>32</v>
      </c>
      <c r="H10" s="12">
        <v>1</v>
      </c>
      <c r="I10" s="31">
        <v>3800000</v>
      </c>
      <c r="J10" s="31">
        <f>I10</f>
        <v>3800000</v>
      </c>
      <c r="K10" s="31">
        <v>900000</v>
      </c>
      <c r="L10" s="12"/>
    </row>
    <row r="11" spans="1:12">
      <c r="A11" s="12"/>
      <c r="B11" s="277"/>
      <c r="C11" s="254"/>
      <c r="D11" s="254"/>
      <c r="E11" s="308"/>
      <c r="F11" s="12" t="s">
        <v>33</v>
      </c>
      <c r="G11" s="12" t="s">
        <v>34</v>
      </c>
      <c r="H11" s="12">
        <v>1</v>
      </c>
      <c r="I11" s="31">
        <v>4970000</v>
      </c>
      <c r="J11" s="31">
        <f t="shared" ref="J11:J16" si="0">I11</f>
        <v>4970000</v>
      </c>
      <c r="K11" s="31"/>
      <c r="L11" s="12"/>
    </row>
    <row r="12" spans="1:12">
      <c r="A12" s="12"/>
      <c r="B12" s="277"/>
      <c r="C12" s="254"/>
      <c r="D12" s="254"/>
      <c r="E12" s="308"/>
      <c r="F12" s="12" t="s">
        <v>35</v>
      </c>
      <c r="G12" s="12" t="s">
        <v>36</v>
      </c>
      <c r="H12" s="12">
        <v>1</v>
      </c>
      <c r="I12" s="31">
        <v>8100000</v>
      </c>
      <c r="J12" s="31">
        <f t="shared" si="0"/>
        <v>8100000</v>
      </c>
      <c r="K12" s="31"/>
      <c r="L12" s="12"/>
    </row>
    <row r="13" spans="1:12">
      <c r="A13" s="12"/>
      <c r="B13" s="277"/>
      <c r="C13" s="254"/>
      <c r="D13" s="254"/>
      <c r="E13" s="308"/>
      <c r="F13" s="257" t="s">
        <v>37</v>
      </c>
      <c r="G13" s="12" t="s">
        <v>38</v>
      </c>
      <c r="H13" s="12">
        <v>1</v>
      </c>
      <c r="I13" s="31">
        <v>2600000</v>
      </c>
      <c r="J13" s="31">
        <f t="shared" si="0"/>
        <v>2600000</v>
      </c>
      <c r="K13" s="31"/>
      <c r="L13" s="12"/>
    </row>
    <row r="14" spans="1:12">
      <c r="A14" s="12"/>
      <c r="B14" s="277"/>
      <c r="C14" s="254"/>
      <c r="D14" s="254"/>
      <c r="E14" s="308"/>
      <c r="F14" s="257"/>
      <c r="G14" s="12" t="s">
        <v>39</v>
      </c>
      <c r="H14" s="12">
        <v>1</v>
      </c>
      <c r="I14" s="31">
        <v>841000</v>
      </c>
      <c r="J14" s="31">
        <f t="shared" si="0"/>
        <v>841000</v>
      </c>
      <c r="K14" s="31"/>
      <c r="L14" s="12"/>
    </row>
    <row r="15" spans="1:12">
      <c r="A15" s="12"/>
      <c r="B15" s="277"/>
      <c r="C15" s="254"/>
      <c r="D15" s="254"/>
      <c r="E15" s="308"/>
      <c r="F15" s="257"/>
      <c r="G15" s="12" t="s">
        <v>40</v>
      </c>
      <c r="H15" s="12">
        <v>1</v>
      </c>
      <c r="I15" s="31">
        <v>3000000</v>
      </c>
      <c r="J15" s="31">
        <f t="shared" si="0"/>
        <v>3000000</v>
      </c>
      <c r="K15" s="31"/>
      <c r="L15" s="32"/>
    </row>
    <row r="16" spans="1:12">
      <c r="A16" s="12"/>
      <c r="B16" s="277"/>
      <c r="C16" s="254"/>
      <c r="D16" s="254"/>
      <c r="E16" s="308"/>
      <c r="F16" s="12" t="s">
        <v>42</v>
      </c>
      <c r="G16" s="12" t="s">
        <v>43</v>
      </c>
      <c r="H16" s="12">
        <v>1</v>
      </c>
      <c r="I16" s="31">
        <v>5750000</v>
      </c>
      <c r="J16" s="31">
        <f t="shared" si="0"/>
        <v>5750000</v>
      </c>
      <c r="K16" s="31"/>
      <c r="L16" s="32"/>
    </row>
    <row r="17" spans="1:14">
      <c r="A17" s="12"/>
      <c r="B17" s="277"/>
      <c r="C17" s="254"/>
      <c r="D17" s="254"/>
      <c r="E17" s="308"/>
      <c r="F17" s="12" t="s">
        <v>44</v>
      </c>
      <c r="G17" s="12" t="s">
        <v>45</v>
      </c>
      <c r="H17" s="12">
        <v>15</v>
      </c>
      <c r="I17" s="31">
        <v>585000</v>
      </c>
      <c r="J17" s="31">
        <f>I17*H17</f>
        <v>8775000</v>
      </c>
      <c r="K17" s="31"/>
      <c r="L17" s="12"/>
    </row>
    <row r="18" spans="1:14">
      <c r="A18" s="12"/>
      <c r="B18" s="277"/>
      <c r="C18" s="254"/>
      <c r="D18" s="254"/>
      <c r="E18" s="308"/>
      <c r="F18" s="253" t="s">
        <v>46</v>
      </c>
      <c r="G18" s="12" t="s">
        <v>47</v>
      </c>
      <c r="H18" s="12">
        <v>4</v>
      </c>
      <c r="I18" s="31">
        <v>845000</v>
      </c>
      <c r="J18" s="31">
        <f>I18*H18</f>
        <v>3380000</v>
      </c>
      <c r="K18" s="31"/>
      <c r="L18" s="12"/>
    </row>
    <row r="19" spans="1:14">
      <c r="A19" s="12"/>
      <c r="B19" s="277"/>
      <c r="C19" s="266"/>
      <c r="D19" s="266"/>
      <c r="E19" s="309"/>
      <c r="F19" s="266"/>
      <c r="G19" s="12" t="s">
        <v>48</v>
      </c>
      <c r="H19" s="12">
        <v>5</v>
      </c>
      <c r="I19" s="31">
        <v>1040000</v>
      </c>
      <c r="J19" s="31">
        <f>I19*H19</f>
        <v>5200000</v>
      </c>
      <c r="K19" s="31"/>
      <c r="L19" s="12"/>
    </row>
    <row r="20" spans="1:14" ht="30">
      <c r="A20" s="12"/>
      <c r="B20" s="277"/>
      <c r="C20" s="12" t="s">
        <v>50</v>
      </c>
      <c r="D20" s="68" t="s">
        <v>51</v>
      </c>
      <c r="E20" s="30">
        <v>44172</v>
      </c>
      <c r="F20" s="12" t="s">
        <v>49</v>
      </c>
      <c r="G20" s="12" t="s">
        <v>52</v>
      </c>
      <c r="H20" s="12">
        <v>1</v>
      </c>
      <c r="I20" s="31">
        <v>261000000</v>
      </c>
      <c r="J20" s="31">
        <f>I20</f>
        <v>261000000</v>
      </c>
      <c r="K20" s="31">
        <v>900000</v>
      </c>
      <c r="L20" s="12"/>
      <c r="N20" s="33"/>
    </row>
    <row r="21" spans="1:14" ht="30">
      <c r="A21" s="12"/>
      <c r="B21" s="277"/>
      <c r="C21" s="12" t="s">
        <v>56</v>
      </c>
      <c r="D21" s="74" t="s">
        <v>53</v>
      </c>
      <c r="E21" s="30">
        <v>44155</v>
      </c>
      <c r="F21" s="12" t="s">
        <v>54</v>
      </c>
      <c r="G21" s="12" t="s">
        <v>55</v>
      </c>
      <c r="H21" s="12">
        <v>1</v>
      </c>
      <c r="I21" s="31">
        <v>10000000</v>
      </c>
      <c r="J21" s="31">
        <f>I21</f>
        <v>10000000</v>
      </c>
      <c r="K21" s="31"/>
      <c r="L21" s="12"/>
      <c r="N21" s="33"/>
    </row>
    <row r="22" spans="1:14" ht="30">
      <c r="A22" s="13"/>
      <c r="B22" s="278"/>
      <c r="C22" s="13" t="s">
        <v>56</v>
      </c>
      <c r="D22" s="71" t="s">
        <v>57</v>
      </c>
      <c r="E22" s="34">
        <v>43994</v>
      </c>
      <c r="F22" s="13" t="s">
        <v>20</v>
      </c>
      <c r="G22" s="13" t="s">
        <v>58</v>
      </c>
      <c r="H22" s="13">
        <v>1</v>
      </c>
      <c r="I22" s="35">
        <v>88682000</v>
      </c>
      <c r="J22" s="35">
        <f>I22</f>
        <v>88682000</v>
      </c>
      <c r="K22" s="35">
        <v>900000</v>
      </c>
      <c r="L22" s="13"/>
      <c r="N22" s="33"/>
    </row>
    <row r="23" spans="1:14" s="40" customFormat="1">
      <c r="A23" s="14"/>
      <c r="B23" s="14"/>
      <c r="C23" s="14"/>
      <c r="D23" s="14"/>
      <c r="E23" s="36"/>
      <c r="F23" s="14"/>
      <c r="G23" s="14"/>
      <c r="H23" s="14"/>
      <c r="I23" s="37"/>
      <c r="J23" s="38">
        <f>SUM(J7:J22)</f>
        <v>463525000</v>
      </c>
      <c r="K23" s="38">
        <f>SUM(K7:K22)</f>
        <v>3600000</v>
      </c>
      <c r="L23" s="39">
        <f>K23+J23</f>
        <v>467125000</v>
      </c>
      <c r="M23" s="46" t="e">
        <f>L23-'BM FIX'!#REF!</f>
        <v>#REF!</v>
      </c>
    </row>
    <row r="24" spans="1:14">
      <c r="A24" s="15"/>
      <c r="B24" s="276" t="s">
        <v>59</v>
      </c>
      <c r="C24" s="275" t="s">
        <v>60</v>
      </c>
      <c r="D24" s="275" t="s">
        <v>61</v>
      </c>
      <c r="E24" s="311">
        <v>44176</v>
      </c>
      <c r="F24" s="15" t="s">
        <v>62</v>
      </c>
      <c r="G24" s="15" t="s">
        <v>63</v>
      </c>
      <c r="H24" s="15">
        <v>1</v>
      </c>
      <c r="I24" s="41">
        <v>300000</v>
      </c>
      <c r="J24" s="41">
        <f t="shared" ref="J24:J29" si="1">I24</f>
        <v>300000</v>
      </c>
      <c r="K24" s="41"/>
      <c r="L24" s="15"/>
    </row>
    <row r="25" spans="1:14">
      <c r="A25" s="12"/>
      <c r="B25" s="277"/>
      <c r="C25" s="254"/>
      <c r="D25" s="254"/>
      <c r="E25" s="308"/>
      <c r="F25" s="12" t="s">
        <v>64</v>
      </c>
      <c r="G25" s="12" t="s">
        <v>80</v>
      </c>
      <c r="H25" s="12">
        <v>1</v>
      </c>
      <c r="I25" s="31">
        <v>3500000</v>
      </c>
      <c r="J25" s="31">
        <f t="shared" si="1"/>
        <v>3500000</v>
      </c>
      <c r="K25" s="31"/>
      <c r="L25" s="12"/>
    </row>
    <row r="26" spans="1:14">
      <c r="A26" s="12"/>
      <c r="B26" s="277"/>
      <c r="C26" s="254"/>
      <c r="D26" s="254"/>
      <c r="E26" s="308"/>
      <c r="F26" s="12" t="s">
        <v>65</v>
      </c>
      <c r="G26" s="12" t="s">
        <v>66</v>
      </c>
      <c r="H26" s="12">
        <v>1</v>
      </c>
      <c r="I26" s="31">
        <v>700000</v>
      </c>
      <c r="J26" s="31">
        <f t="shared" si="1"/>
        <v>700000</v>
      </c>
      <c r="K26" s="31"/>
      <c r="L26" s="12"/>
    </row>
    <row r="27" spans="1:14">
      <c r="A27" s="12"/>
      <c r="B27" s="277"/>
      <c r="C27" s="254"/>
      <c r="D27" s="254"/>
      <c r="E27" s="308"/>
      <c r="F27" s="12" t="s">
        <v>67</v>
      </c>
      <c r="G27" s="12"/>
      <c r="H27" s="12">
        <v>1</v>
      </c>
      <c r="I27" s="31">
        <v>2500000</v>
      </c>
      <c r="J27" s="31">
        <f t="shared" si="1"/>
        <v>2500000</v>
      </c>
      <c r="K27" s="31"/>
      <c r="L27" s="12"/>
    </row>
    <row r="28" spans="1:14">
      <c r="A28" s="12"/>
      <c r="B28" s="277"/>
      <c r="C28" s="254"/>
      <c r="D28" s="254"/>
      <c r="E28" s="308"/>
      <c r="F28" s="12" t="s">
        <v>68</v>
      </c>
      <c r="G28" s="12" t="s">
        <v>69</v>
      </c>
      <c r="H28" s="12">
        <v>1</v>
      </c>
      <c r="I28" s="31">
        <v>2500000</v>
      </c>
      <c r="J28" s="31">
        <f t="shared" si="1"/>
        <v>2500000</v>
      </c>
      <c r="K28" s="31"/>
      <c r="L28" s="12"/>
    </row>
    <row r="29" spans="1:14" ht="30">
      <c r="A29" s="12"/>
      <c r="B29" s="277"/>
      <c r="C29" s="266"/>
      <c r="D29" s="266"/>
      <c r="E29" s="309"/>
      <c r="F29" s="12" t="s">
        <v>54</v>
      </c>
      <c r="G29" s="12" t="s">
        <v>70</v>
      </c>
      <c r="H29" s="12">
        <v>1</v>
      </c>
      <c r="I29" s="31">
        <v>8000000</v>
      </c>
      <c r="J29" s="31">
        <f t="shared" si="1"/>
        <v>8000000</v>
      </c>
      <c r="K29" s="31"/>
      <c r="L29" s="12"/>
    </row>
    <row r="30" spans="1:14" ht="30">
      <c r="A30" s="12"/>
      <c r="B30" s="277"/>
      <c r="C30" s="253" t="s">
        <v>71</v>
      </c>
      <c r="D30" s="253" t="s">
        <v>72</v>
      </c>
      <c r="E30" s="307">
        <v>44140</v>
      </c>
      <c r="F30" s="12" t="s">
        <v>73</v>
      </c>
      <c r="G30" s="12" t="s">
        <v>74</v>
      </c>
      <c r="H30" s="12">
        <v>2</v>
      </c>
      <c r="I30" s="31">
        <v>8880000</v>
      </c>
      <c r="J30" s="31">
        <f t="shared" ref="J30:J36" si="2">I30*H30</f>
        <v>17760000</v>
      </c>
      <c r="K30" s="31">
        <v>850000</v>
      </c>
      <c r="L30" s="12"/>
    </row>
    <row r="31" spans="1:14" ht="30">
      <c r="A31" s="12"/>
      <c r="B31" s="277"/>
      <c r="C31" s="254"/>
      <c r="D31" s="254"/>
      <c r="E31" s="308"/>
      <c r="F31" s="12" t="s">
        <v>33</v>
      </c>
      <c r="G31" s="12" t="s">
        <v>75</v>
      </c>
      <c r="H31" s="12">
        <v>1</v>
      </c>
      <c r="I31" s="31">
        <v>8690000</v>
      </c>
      <c r="J31" s="31">
        <f t="shared" si="2"/>
        <v>8690000</v>
      </c>
      <c r="K31" s="31"/>
      <c r="L31" s="12"/>
    </row>
    <row r="32" spans="1:14" ht="60">
      <c r="A32" s="12"/>
      <c r="B32" s="277"/>
      <c r="C32" s="254"/>
      <c r="D32" s="254"/>
      <c r="E32" s="308"/>
      <c r="F32" s="12" t="s">
        <v>35</v>
      </c>
      <c r="G32" s="12" t="s">
        <v>76</v>
      </c>
      <c r="H32" s="12">
        <v>1</v>
      </c>
      <c r="I32" s="31">
        <v>9320000</v>
      </c>
      <c r="J32" s="31">
        <f t="shared" si="2"/>
        <v>9320000</v>
      </c>
      <c r="K32" s="31"/>
      <c r="L32" s="12"/>
    </row>
    <row r="33" spans="1:14">
      <c r="A33" s="12"/>
      <c r="B33" s="277"/>
      <c r="C33" s="266"/>
      <c r="D33" s="266"/>
      <c r="E33" s="309"/>
      <c r="F33" s="12" t="s">
        <v>37</v>
      </c>
      <c r="G33" s="12" t="s">
        <v>77</v>
      </c>
      <c r="H33" s="12">
        <v>2</v>
      </c>
      <c r="I33" s="31">
        <v>2720000</v>
      </c>
      <c r="J33" s="31">
        <f t="shared" si="2"/>
        <v>5440000</v>
      </c>
      <c r="K33" s="31"/>
      <c r="L33" s="12"/>
      <c r="N33" s="33"/>
    </row>
    <row r="34" spans="1:14">
      <c r="A34" s="12"/>
      <c r="B34" s="277"/>
      <c r="C34" s="253" t="s">
        <v>78</v>
      </c>
      <c r="D34" s="253" t="s">
        <v>79</v>
      </c>
      <c r="E34" s="307">
        <v>43993</v>
      </c>
      <c r="F34" s="12" t="s">
        <v>42</v>
      </c>
      <c r="G34" s="12" t="s">
        <v>81</v>
      </c>
      <c r="H34" s="12">
        <v>2</v>
      </c>
      <c r="I34" s="31">
        <f>4840000/2</f>
        <v>2420000</v>
      </c>
      <c r="J34" s="31">
        <f t="shared" si="2"/>
        <v>4840000</v>
      </c>
      <c r="K34" s="31"/>
      <c r="L34" s="12"/>
    </row>
    <row r="35" spans="1:14">
      <c r="A35" s="12"/>
      <c r="B35" s="277"/>
      <c r="C35" s="254"/>
      <c r="D35" s="254"/>
      <c r="E35" s="308"/>
      <c r="F35" s="12" t="s">
        <v>46</v>
      </c>
      <c r="G35" s="12" t="s">
        <v>92</v>
      </c>
      <c r="H35" s="12">
        <v>2</v>
      </c>
      <c r="I35" s="31">
        <f>3960000/2</f>
        <v>1980000</v>
      </c>
      <c r="J35" s="31">
        <f t="shared" si="2"/>
        <v>3960000</v>
      </c>
      <c r="K35" s="31"/>
      <c r="L35" s="12"/>
    </row>
    <row r="36" spans="1:14">
      <c r="A36" s="12"/>
      <c r="B36" s="277"/>
      <c r="C36" s="254"/>
      <c r="D36" s="254"/>
      <c r="E36" s="308"/>
      <c r="F36" s="12" t="s">
        <v>44</v>
      </c>
      <c r="G36" s="12" t="s">
        <v>82</v>
      </c>
      <c r="H36" s="12">
        <v>50</v>
      </c>
      <c r="I36" s="31">
        <f>4950000/50</f>
        <v>99000</v>
      </c>
      <c r="J36" s="31">
        <f t="shared" si="2"/>
        <v>4950000</v>
      </c>
      <c r="K36" s="31"/>
      <c r="L36" s="12"/>
    </row>
    <row r="37" spans="1:14">
      <c r="A37" s="12"/>
      <c r="B37" s="277"/>
      <c r="C37" s="254"/>
      <c r="D37" s="254"/>
      <c r="E37" s="308"/>
      <c r="F37" s="12" t="s">
        <v>83</v>
      </c>
      <c r="G37" s="12" t="s">
        <v>84</v>
      </c>
      <c r="H37" s="12">
        <v>1</v>
      </c>
      <c r="I37" s="31">
        <v>5200000</v>
      </c>
      <c r="J37" s="31">
        <f>I37</f>
        <v>5200000</v>
      </c>
      <c r="K37" s="31"/>
      <c r="L37" s="12"/>
    </row>
    <row r="38" spans="1:14">
      <c r="A38" s="12"/>
      <c r="B38" s="277"/>
      <c r="C38" s="254"/>
      <c r="D38" s="254"/>
      <c r="E38" s="308"/>
      <c r="F38" s="12" t="s">
        <v>85</v>
      </c>
      <c r="G38" s="12" t="s">
        <v>86</v>
      </c>
      <c r="H38" s="12">
        <v>1</v>
      </c>
      <c r="I38" s="31">
        <v>3985000</v>
      </c>
      <c r="J38" s="31">
        <f>I38</f>
        <v>3985000</v>
      </c>
      <c r="K38" s="31"/>
      <c r="L38" s="12"/>
    </row>
    <row r="39" spans="1:14">
      <c r="A39" s="12"/>
      <c r="B39" s="277"/>
      <c r="C39" s="254"/>
      <c r="D39" s="254"/>
      <c r="E39" s="308"/>
      <c r="F39" s="253" t="s">
        <v>87</v>
      </c>
      <c r="G39" s="12" t="s">
        <v>88</v>
      </c>
      <c r="H39" s="12">
        <v>1</v>
      </c>
      <c r="I39" s="31">
        <v>3900000</v>
      </c>
      <c r="J39" s="31">
        <f t="shared" ref="J39:J48" si="3">I39</f>
        <v>3900000</v>
      </c>
      <c r="K39" s="31">
        <v>850000</v>
      </c>
      <c r="L39" s="12"/>
    </row>
    <row r="40" spans="1:14">
      <c r="A40" s="12"/>
      <c r="B40" s="277"/>
      <c r="C40" s="254"/>
      <c r="D40" s="254"/>
      <c r="E40" s="308"/>
      <c r="F40" s="266"/>
      <c r="G40" s="12" t="s">
        <v>89</v>
      </c>
      <c r="H40" s="12">
        <v>1</v>
      </c>
      <c r="I40" s="31">
        <v>4340000</v>
      </c>
      <c r="J40" s="31">
        <f t="shared" si="3"/>
        <v>4340000</v>
      </c>
      <c r="K40" s="31"/>
      <c r="L40" s="12"/>
    </row>
    <row r="41" spans="1:14">
      <c r="A41" s="12"/>
      <c r="B41" s="277"/>
      <c r="C41" s="266"/>
      <c r="D41" s="266"/>
      <c r="E41" s="309"/>
      <c r="F41" s="12" t="s">
        <v>90</v>
      </c>
      <c r="G41" s="12" t="s">
        <v>91</v>
      </c>
      <c r="H41" s="12">
        <v>1</v>
      </c>
      <c r="I41" s="31">
        <v>3200000</v>
      </c>
      <c r="J41" s="31">
        <f t="shared" si="3"/>
        <v>3200000</v>
      </c>
      <c r="K41" s="31"/>
      <c r="L41" s="12"/>
    </row>
    <row r="42" spans="1:14">
      <c r="A42" s="12"/>
      <c r="B42" s="277"/>
      <c r="C42" s="253" t="s">
        <v>78</v>
      </c>
      <c r="D42" s="253" t="s">
        <v>93</v>
      </c>
      <c r="E42" s="261">
        <v>44328</v>
      </c>
      <c r="F42" s="12" t="s">
        <v>94</v>
      </c>
      <c r="G42" s="12" t="s">
        <v>95</v>
      </c>
      <c r="H42" s="12">
        <v>1</v>
      </c>
      <c r="I42" s="31">
        <v>3883000</v>
      </c>
      <c r="J42" s="31">
        <f t="shared" si="3"/>
        <v>3883000</v>
      </c>
      <c r="K42" s="31"/>
      <c r="L42" s="12"/>
    </row>
    <row r="43" spans="1:14" ht="45">
      <c r="A43" s="12"/>
      <c r="B43" s="277"/>
      <c r="C43" s="266"/>
      <c r="D43" s="266"/>
      <c r="E43" s="260"/>
      <c r="F43" s="12" t="s">
        <v>96</v>
      </c>
      <c r="G43" s="12" t="s">
        <v>97</v>
      </c>
      <c r="H43" s="12">
        <v>1</v>
      </c>
      <c r="I43" s="31">
        <v>6889850</v>
      </c>
      <c r="J43" s="31">
        <f t="shared" si="3"/>
        <v>6889850</v>
      </c>
      <c r="K43" s="31"/>
      <c r="L43" s="12"/>
    </row>
    <row r="44" spans="1:14">
      <c r="A44" s="12"/>
      <c r="B44" s="277"/>
      <c r="C44" s="16" t="s">
        <v>103</v>
      </c>
      <c r="D44" s="43"/>
      <c r="E44" s="44">
        <v>44136</v>
      </c>
      <c r="F44" s="12" t="s">
        <v>98</v>
      </c>
      <c r="G44" s="12"/>
      <c r="H44" s="12">
        <v>1</v>
      </c>
      <c r="I44" s="31">
        <v>5000000</v>
      </c>
      <c r="J44" s="31">
        <f t="shared" si="3"/>
        <v>5000000</v>
      </c>
      <c r="K44" s="31"/>
      <c r="L44" s="12"/>
    </row>
    <row r="45" spans="1:14">
      <c r="A45" s="12"/>
      <c r="B45" s="277"/>
      <c r="C45" s="12" t="s">
        <v>120</v>
      </c>
      <c r="D45" s="74" t="s">
        <v>122</v>
      </c>
      <c r="E45" s="12"/>
      <c r="F45" s="12" t="s">
        <v>20</v>
      </c>
      <c r="G45" s="12" t="s">
        <v>99</v>
      </c>
      <c r="H45" s="12">
        <v>1</v>
      </c>
      <c r="I45" s="45">
        <v>33078150</v>
      </c>
      <c r="J45" s="31">
        <f t="shared" si="3"/>
        <v>33078150</v>
      </c>
      <c r="K45" s="31">
        <v>600000</v>
      </c>
      <c r="L45" s="12"/>
    </row>
    <row r="46" spans="1:14">
      <c r="A46" s="12"/>
      <c r="B46" s="277"/>
      <c r="C46" s="12" t="s">
        <v>102</v>
      </c>
      <c r="D46" s="73" t="s">
        <v>101</v>
      </c>
      <c r="E46" s="12"/>
      <c r="F46" s="12" t="s">
        <v>30</v>
      </c>
      <c r="G46" s="12" t="s">
        <v>100</v>
      </c>
      <c r="H46" s="12">
        <v>1</v>
      </c>
      <c r="I46" s="31">
        <v>3982000</v>
      </c>
      <c r="J46" s="31">
        <f t="shared" si="3"/>
        <v>3982000</v>
      </c>
      <c r="K46" s="31">
        <v>600000</v>
      </c>
      <c r="L46" s="12"/>
    </row>
    <row r="47" spans="1:14">
      <c r="A47" s="12"/>
      <c r="B47" s="277"/>
      <c r="C47" s="12" t="s">
        <v>104</v>
      </c>
      <c r="D47" s="74"/>
      <c r="E47" s="12"/>
      <c r="F47" s="12" t="s">
        <v>105</v>
      </c>
      <c r="G47" s="12" t="s">
        <v>106</v>
      </c>
      <c r="H47" s="12">
        <v>1</v>
      </c>
      <c r="I47" s="31">
        <v>3500000</v>
      </c>
      <c r="J47" s="31">
        <f t="shared" si="3"/>
        <v>3500000</v>
      </c>
      <c r="K47" s="31"/>
      <c r="L47" s="12"/>
    </row>
    <row r="48" spans="1:14" ht="30">
      <c r="A48" s="12"/>
      <c r="B48" s="277"/>
      <c r="C48" s="12" t="s">
        <v>109</v>
      </c>
      <c r="D48" s="74"/>
      <c r="E48" s="12"/>
      <c r="F48" s="12" t="s">
        <v>107</v>
      </c>
      <c r="G48" s="12"/>
      <c r="H48" s="12">
        <v>1</v>
      </c>
      <c r="I48" s="31">
        <v>995000</v>
      </c>
      <c r="J48" s="31">
        <f t="shared" si="3"/>
        <v>995000</v>
      </c>
      <c r="K48" s="31"/>
      <c r="L48" s="12"/>
    </row>
    <row r="49" spans="1:14">
      <c r="A49" s="12"/>
      <c r="B49" s="277"/>
      <c r="C49" s="12" t="s">
        <v>110</v>
      </c>
      <c r="D49" s="74"/>
      <c r="E49" s="12"/>
      <c r="F49" s="12" t="s">
        <v>108</v>
      </c>
      <c r="G49" s="12"/>
      <c r="H49" s="12">
        <v>2</v>
      </c>
      <c r="I49" s="31">
        <v>600000</v>
      </c>
      <c r="J49" s="31">
        <f>I49*H49</f>
        <v>1200000</v>
      </c>
      <c r="K49" s="31"/>
      <c r="L49" s="12"/>
    </row>
    <row r="50" spans="1:14">
      <c r="A50" s="12"/>
      <c r="B50" s="277"/>
      <c r="C50" s="12"/>
      <c r="D50" s="74"/>
      <c r="E50" s="12"/>
      <c r="F50" s="12" t="s">
        <v>111</v>
      </c>
      <c r="G50" s="12"/>
      <c r="H50" s="12">
        <v>1</v>
      </c>
      <c r="I50" s="31">
        <v>10000000</v>
      </c>
      <c r="J50" s="31">
        <f>I50*H50</f>
        <v>10000000</v>
      </c>
      <c r="K50" s="31"/>
      <c r="L50" s="12"/>
      <c r="N50" s="33">
        <f>L53+30000000</f>
        <v>496637865</v>
      </c>
    </row>
    <row r="51" spans="1:14" ht="33" customHeight="1">
      <c r="A51" s="13"/>
      <c r="B51" s="277"/>
      <c r="C51" s="13" t="s">
        <v>120</v>
      </c>
      <c r="D51" s="76" t="s">
        <v>121</v>
      </c>
      <c r="E51" s="13"/>
      <c r="F51" s="17" t="s">
        <v>113</v>
      </c>
      <c r="G51" s="13" t="s">
        <v>114</v>
      </c>
      <c r="H51" s="13">
        <v>1</v>
      </c>
      <c r="I51" s="35">
        <v>131373208</v>
      </c>
      <c r="J51" s="35">
        <f>I51</f>
        <v>131373208</v>
      </c>
      <c r="K51" s="35">
        <f>135673208-131373208</f>
        <v>4300000</v>
      </c>
      <c r="L51" s="13"/>
      <c r="N51" s="33">
        <f>N50-J52-K52</f>
        <v>330186208</v>
      </c>
    </row>
    <row r="52" spans="1:14" ht="33" customHeight="1">
      <c r="A52" s="13"/>
      <c r="B52" s="278"/>
      <c r="C52" s="13" t="s">
        <v>120</v>
      </c>
      <c r="D52" s="71" t="s">
        <v>119</v>
      </c>
      <c r="E52" s="13"/>
      <c r="F52" s="17" t="s">
        <v>117</v>
      </c>
      <c r="G52" s="13" t="s">
        <v>118</v>
      </c>
      <c r="H52" s="13">
        <v>1</v>
      </c>
      <c r="I52" s="35">
        <v>162751657</v>
      </c>
      <c r="J52" s="35">
        <f>I52</f>
        <v>162751657</v>
      </c>
      <c r="K52" s="35">
        <v>3700000</v>
      </c>
      <c r="L52" s="13"/>
    </row>
    <row r="53" spans="1:14" s="40" customFormat="1">
      <c r="A53" s="14"/>
      <c r="B53" s="14"/>
      <c r="C53" s="14"/>
      <c r="D53" s="8"/>
      <c r="E53" s="14"/>
      <c r="F53" s="14"/>
      <c r="G53" s="14"/>
      <c r="H53" s="14"/>
      <c r="I53" s="37"/>
      <c r="J53" s="38">
        <f>SUM(J24:J52)</f>
        <v>455737865</v>
      </c>
      <c r="K53" s="38">
        <f>SUM(K24:K52)</f>
        <v>10900000</v>
      </c>
      <c r="L53" s="38">
        <f>J53+K53</f>
        <v>466637865</v>
      </c>
      <c r="M53" s="46" t="e">
        <f>L53-'BM FIX'!#REF!</f>
        <v>#REF!</v>
      </c>
      <c r="N53" s="46">
        <f>L53-312486208</f>
        <v>154151657</v>
      </c>
    </row>
    <row r="54" spans="1:14" s="48" customFormat="1">
      <c r="A54" s="11"/>
      <c r="B54" s="276" t="s">
        <v>123</v>
      </c>
      <c r="C54" s="299" t="s">
        <v>60</v>
      </c>
      <c r="D54" s="301" t="s">
        <v>169</v>
      </c>
      <c r="E54" s="258">
        <v>44541</v>
      </c>
      <c r="F54" s="275" t="s">
        <v>170</v>
      </c>
      <c r="G54" s="11" t="s">
        <v>171</v>
      </c>
      <c r="H54" s="11">
        <v>1</v>
      </c>
      <c r="I54" s="29">
        <v>7000000</v>
      </c>
      <c r="J54" s="47">
        <f t="shared" ref="J54:J62" si="4">I54*H54</f>
        <v>7000000</v>
      </c>
      <c r="K54" s="47"/>
      <c r="L54" s="47"/>
      <c r="N54" s="49"/>
    </row>
    <row r="55" spans="1:14" s="48" customFormat="1">
      <c r="A55" s="12"/>
      <c r="B55" s="277"/>
      <c r="C55" s="289"/>
      <c r="D55" s="291"/>
      <c r="E55" s="260"/>
      <c r="F55" s="266"/>
      <c r="G55" s="12" t="s">
        <v>197</v>
      </c>
      <c r="H55" s="12">
        <v>1</v>
      </c>
      <c r="I55" s="31">
        <v>18325000</v>
      </c>
      <c r="J55" s="20">
        <f t="shared" si="4"/>
        <v>18325000</v>
      </c>
      <c r="K55" s="20">
        <v>600000</v>
      </c>
      <c r="L55" s="20"/>
      <c r="N55" s="49"/>
    </row>
    <row r="56" spans="1:14" s="48" customFormat="1" ht="30">
      <c r="A56" s="12"/>
      <c r="B56" s="277"/>
      <c r="C56" s="288" t="s">
        <v>173</v>
      </c>
      <c r="D56" s="290" t="s">
        <v>174</v>
      </c>
      <c r="E56" s="261">
        <v>44505</v>
      </c>
      <c r="F56" s="12" t="s">
        <v>73</v>
      </c>
      <c r="G56" s="12" t="s">
        <v>175</v>
      </c>
      <c r="H56" s="12">
        <v>2</v>
      </c>
      <c r="I56" s="31">
        <v>9330000</v>
      </c>
      <c r="J56" s="20">
        <f t="shared" si="4"/>
        <v>18660000</v>
      </c>
      <c r="K56" s="20">
        <v>250000</v>
      </c>
      <c r="L56" s="20"/>
      <c r="N56" s="49"/>
    </row>
    <row r="57" spans="1:14" s="48" customFormat="1" ht="30">
      <c r="A57" s="12"/>
      <c r="B57" s="277"/>
      <c r="C57" s="300"/>
      <c r="D57" s="302"/>
      <c r="E57" s="259"/>
      <c r="F57" s="12" t="s">
        <v>33</v>
      </c>
      <c r="G57" s="12" t="s">
        <v>176</v>
      </c>
      <c r="H57" s="12">
        <v>2</v>
      </c>
      <c r="I57" s="31">
        <v>9330000</v>
      </c>
      <c r="J57" s="20">
        <f t="shared" si="4"/>
        <v>18660000</v>
      </c>
      <c r="K57" s="20"/>
      <c r="L57" s="20"/>
      <c r="N57" s="49"/>
    </row>
    <row r="58" spans="1:14" s="48" customFormat="1">
      <c r="A58" s="12"/>
      <c r="B58" s="277"/>
      <c r="C58" s="289"/>
      <c r="D58" s="291"/>
      <c r="E58" s="260"/>
      <c r="F58" s="12" t="s">
        <v>37</v>
      </c>
      <c r="G58" s="12" t="s">
        <v>77</v>
      </c>
      <c r="H58" s="12">
        <v>2</v>
      </c>
      <c r="I58" s="31">
        <v>2750000</v>
      </c>
      <c r="J58" s="20">
        <f t="shared" si="4"/>
        <v>5500000</v>
      </c>
      <c r="K58" s="20"/>
      <c r="L58" s="20"/>
      <c r="N58" s="49"/>
    </row>
    <row r="59" spans="1:14" s="48" customFormat="1">
      <c r="A59" s="12"/>
      <c r="B59" s="277"/>
      <c r="C59" s="288" t="s">
        <v>60</v>
      </c>
      <c r="D59" s="290" t="s">
        <v>177</v>
      </c>
      <c r="E59" s="261">
        <v>44485</v>
      </c>
      <c r="F59" s="12" t="s">
        <v>128</v>
      </c>
      <c r="G59" s="12" t="s">
        <v>178</v>
      </c>
      <c r="H59" s="12">
        <v>1</v>
      </c>
      <c r="I59" s="31">
        <v>1250000</v>
      </c>
      <c r="J59" s="20">
        <f t="shared" si="4"/>
        <v>1250000</v>
      </c>
      <c r="K59" s="20"/>
      <c r="L59" s="20"/>
      <c r="N59" s="49"/>
    </row>
    <row r="60" spans="1:14" s="48" customFormat="1">
      <c r="A60" s="12"/>
      <c r="B60" s="277"/>
      <c r="C60" s="300"/>
      <c r="D60" s="302"/>
      <c r="E60" s="259"/>
      <c r="F60" s="12" t="s">
        <v>65</v>
      </c>
      <c r="G60" s="12" t="s">
        <v>179</v>
      </c>
      <c r="H60" s="12">
        <v>1</v>
      </c>
      <c r="I60" s="31">
        <v>700000</v>
      </c>
      <c r="J60" s="20">
        <f t="shared" si="4"/>
        <v>700000</v>
      </c>
      <c r="K60" s="20"/>
      <c r="L60" s="20"/>
      <c r="N60" s="49"/>
    </row>
    <row r="61" spans="1:14" s="48" customFormat="1">
      <c r="A61" s="12"/>
      <c r="B61" s="277"/>
      <c r="C61" s="300"/>
      <c r="D61" s="302"/>
      <c r="E61" s="259"/>
      <c r="F61" s="12" t="s">
        <v>130</v>
      </c>
      <c r="G61" s="51" t="s">
        <v>180</v>
      </c>
      <c r="H61" s="12">
        <v>1</v>
      </c>
      <c r="I61" s="31">
        <v>1000000</v>
      </c>
      <c r="J61" s="20">
        <f t="shared" si="4"/>
        <v>1000000</v>
      </c>
      <c r="K61" s="20"/>
      <c r="L61" s="20"/>
      <c r="N61" s="49"/>
    </row>
    <row r="62" spans="1:14" s="48" customFormat="1">
      <c r="A62" s="12"/>
      <c r="B62" s="277"/>
      <c r="C62" s="300"/>
      <c r="D62" s="302"/>
      <c r="E62" s="259"/>
      <c r="F62" s="12" t="s">
        <v>132</v>
      </c>
      <c r="G62" s="12" t="s">
        <v>181</v>
      </c>
      <c r="H62" s="12">
        <v>2</v>
      </c>
      <c r="I62" s="31">
        <v>700000</v>
      </c>
      <c r="J62" s="20">
        <f t="shared" si="4"/>
        <v>1400000</v>
      </c>
      <c r="K62" s="20"/>
      <c r="L62" s="20"/>
      <c r="N62" s="49"/>
    </row>
    <row r="63" spans="1:14" s="48" customFormat="1" ht="30">
      <c r="A63" s="12"/>
      <c r="B63" s="277"/>
      <c r="C63" s="289"/>
      <c r="D63" s="291"/>
      <c r="E63" s="260"/>
      <c r="F63" s="12" t="s">
        <v>54</v>
      </c>
      <c r="G63" s="12" t="s">
        <v>70</v>
      </c>
      <c r="H63" s="12">
        <v>1</v>
      </c>
      <c r="I63" s="31">
        <v>8000000</v>
      </c>
      <c r="J63" s="20">
        <f>I63</f>
        <v>8000000</v>
      </c>
      <c r="K63" s="20"/>
      <c r="L63" s="20"/>
      <c r="N63" s="49"/>
    </row>
    <row r="64" spans="1:14" s="48" customFormat="1">
      <c r="A64" s="12"/>
      <c r="B64" s="277"/>
      <c r="C64" s="24" t="s">
        <v>60</v>
      </c>
      <c r="D64" s="25" t="s">
        <v>182</v>
      </c>
      <c r="E64" s="42">
        <v>44478</v>
      </c>
      <c r="F64" s="12" t="s">
        <v>159</v>
      </c>
      <c r="G64" s="12" t="s">
        <v>183</v>
      </c>
      <c r="H64" s="12">
        <v>1</v>
      </c>
      <c r="I64" s="31">
        <v>7300000</v>
      </c>
      <c r="J64" s="20">
        <f>I64</f>
        <v>7300000</v>
      </c>
      <c r="K64" s="20"/>
      <c r="L64" s="20"/>
      <c r="N64" s="49"/>
    </row>
    <row r="65" spans="1:14" s="48" customFormat="1">
      <c r="A65" s="12"/>
      <c r="B65" s="277"/>
      <c r="C65" s="288" t="s">
        <v>184</v>
      </c>
      <c r="D65" s="290" t="s">
        <v>185</v>
      </c>
      <c r="E65" s="261">
        <v>44371</v>
      </c>
      <c r="F65" s="12" t="s">
        <v>186</v>
      </c>
      <c r="G65" s="12" t="s">
        <v>189</v>
      </c>
      <c r="H65" s="12">
        <v>1</v>
      </c>
      <c r="I65" s="31">
        <v>3200000</v>
      </c>
      <c r="J65" s="20">
        <f>I65</f>
        <v>3200000</v>
      </c>
      <c r="K65" s="20"/>
      <c r="L65" s="20"/>
      <c r="N65" s="49"/>
    </row>
    <row r="66" spans="1:14" s="48" customFormat="1">
      <c r="A66" s="12"/>
      <c r="B66" s="277"/>
      <c r="C66" s="289"/>
      <c r="D66" s="291"/>
      <c r="E66" s="260"/>
      <c r="F66" s="12" t="s">
        <v>187</v>
      </c>
      <c r="G66" s="12" t="s">
        <v>188</v>
      </c>
      <c r="H66" s="12">
        <v>1</v>
      </c>
      <c r="I66" s="31">
        <v>7575000</v>
      </c>
      <c r="J66" s="20">
        <f>I66</f>
        <v>7575000</v>
      </c>
      <c r="K66" s="20"/>
      <c r="L66" s="20"/>
      <c r="N66" s="49"/>
    </row>
    <row r="67" spans="1:14" s="48" customFormat="1" ht="30">
      <c r="A67" s="12"/>
      <c r="B67" s="277"/>
      <c r="C67" s="18" t="s">
        <v>184</v>
      </c>
      <c r="D67" s="25" t="s">
        <v>190</v>
      </c>
      <c r="E67" s="42">
        <v>44371</v>
      </c>
      <c r="F67" s="12" t="s">
        <v>20</v>
      </c>
      <c r="G67" s="12" t="s">
        <v>191</v>
      </c>
      <c r="H67" s="12">
        <v>1</v>
      </c>
      <c r="I67" s="31">
        <v>23650000</v>
      </c>
      <c r="J67" s="20">
        <f>I67</f>
        <v>23650000</v>
      </c>
      <c r="K67" s="20">
        <v>600000</v>
      </c>
      <c r="L67" s="20"/>
      <c r="N67" s="49"/>
    </row>
    <row r="68" spans="1:14" s="48" customFormat="1">
      <c r="A68" s="12"/>
      <c r="B68" s="277"/>
      <c r="C68" s="12" t="s">
        <v>104</v>
      </c>
      <c r="D68" s="74"/>
      <c r="E68" s="12"/>
      <c r="F68" s="12" t="s">
        <v>105</v>
      </c>
      <c r="G68" s="12" t="s">
        <v>106</v>
      </c>
      <c r="H68" s="12">
        <v>1</v>
      </c>
      <c r="I68" s="31">
        <v>3500000</v>
      </c>
      <c r="J68" s="20">
        <f t="shared" ref="J68:J69" si="5">I68</f>
        <v>3500000</v>
      </c>
      <c r="K68" s="20"/>
      <c r="L68" s="20"/>
      <c r="N68" s="49"/>
    </row>
    <row r="69" spans="1:14" s="48" customFormat="1" ht="30">
      <c r="A69" s="12"/>
      <c r="B69" s="277"/>
      <c r="C69" s="12" t="s">
        <v>109</v>
      </c>
      <c r="D69" s="74"/>
      <c r="E69" s="12"/>
      <c r="F69" s="12" t="s">
        <v>107</v>
      </c>
      <c r="G69" s="12"/>
      <c r="H69" s="12">
        <v>1</v>
      </c>
      <c r="I69" s="31">
        <v>995000</v>
      </c>
      <c r="J69" s="20">
        <f t="shared" si="5"/>
        <v>995000</v>
      </c>
      <c r="K69" s="20"/>
      <c r="L69" s="20"/>
      <c r="N69" s="49"/>
    </row>
    <row r="70" spans="1:14" s="48" customFormat="1">
      <c r="A70" s="12"/>
      <c r="B70" s="277"/>
      <c r="C70" s="12" t="s">
        <v>110</v>
      </c>
      <c r="D70" s="74"/>
      <c r="E70" s="12"/>
      <c r="F70" s="12" t="s">
        <v>108</v>
      </c>
      <c r="G70" s="12"/>
      <c r="H70" s="12">
        <v>2</v>
      </c>
      <c r="I70" s="31">
        <v>600000</v>
      </c>
      <c r="J70" s="20">
        <f t="shared" ref="J70:J76" si="6">I70*H70</f>
        <v>1200000</v>
      </c>
      <c r="K70" s="20"/>
      <c r="L70" s="20"/>
      <c r="N70" s="49"/>
    </row>
    <row r="71" spans="1:14" s="48" customFormat="1">
      <c r="A71" s="12"/>
      <c r="B71" s="277"/>
      <c r="C71" s="12"/>
      <c r="D71" s="74"/>
      <c r="E71" s="12"/>
      <c r="F71" s="12" t="s">
        <v>111</v>
      </c>
      <c r="G71" s="12"/>
      <c r="H71" s="12">
        <v>1</v>
      </c>
      <c r="I71" s="31">
        <v>5000000</v>
      </c>
      <c r="J71" s="20">
        <f t="shared" si="6"/>
        <v>5000000</v>
      </c>
      <c r="K71" s="20"/>
      <c r="L71" s="20"/>
      <c r="N71" s="49"/>
    </row>
    <row r="72" spans="1:14" s="48" customFormat="1">
      <c r="A72" s="12"/>
      <c r="B72" s="277"/>
      <c r="C72" s="288" t="s">
        <v>192</v>
      </c>
      <c r="D72" s="290" t="s">
        <v>194</v>
      </c>
      <c r="E72" s="261">
        <v>44358</v>
      </c>
      <c r="F72" s="12" t="s">
        <v>42</v>
      </c>
      <c r="G72" s="12" t="s">
        <v>193</v>
      </c>
      <c r="H72" s="12">
        <v>3</v>
      </c>
      <c r="I72" s="31">
        <f>7408500/3</f>
        <v>2469500</v>
      </c>
      <c r="J72" s="20">
        <f t="shared" si="6"/>
        <v>7408500</v>
      </c>
      <c r="K72" s="20"/>
      <c r="L72" s="20"/>
      <c r="N72" s="49"/>
    </row>
    <row r="73" spans="1:14" s="48" customFormat="1">
      <c r="A73" s="12"/>
      <c r="B73" s="277"/>
      <c r="C73" s="300"/>
      <c r="D73" s="302"/>
      <c r="E73" s="259"/>
      <c r="F73" s="12" t="s">
        <v>151</v>
      </c>
      <c r="G73" s="12"/>
      <c r="H73" s="12">
        <v>1</v>
      </c>
      <c r="I73" s="31">
        <v>3960000</v>
      </c>
      <c r="J73" s="20">
        <f t="shared" si="6"/>
        <v>3960000</v>
      </c>
      <c r="K73" s="20"/>
      <c r="L73" s="20"/>
      <c r="N73" s="49"/>
    </row>
    <row r="74" spans="1:14" s="48" customFormat="1">
      <c r="A74" s="12"/>
      <c r="B74" s="277"/>
      <c r="C74" s="300"/>
      <c r="D74" s="302"/>
      <c r="E74" s="259"/>
      <c r="F74" s="12" t="s">
        <v>46</v>
      </c>
      <c r="G74" s="12"/>
      <c r="H74" s="12">
        <v>3</v>
      </c>
      <c r="I74" s="31">
        <f>4422000/3</f>
        <v>1474000</v>
      </c>
      <c r="J74" s="20">
        <f t="shared" si="6"/>
        <v>4422000</v>
      </c>
      <c r="K74" s="20"/>
      <c r="L74" s="20"/>
      <c r="N74" s="49"/>
    </row>
    <row r="75" spans="1:14" s="48" customFormat="1">
      <c r="A75" s="12"/>
      <c r="B75" s="277"/>
      <c r="C75" s="300"/>
      <c r="D75" s="302"/>
      <c r="E75" s="259"/>
      <c r="F75" s="12" t="s">
        <v>44</v>
      </c>
      <c r="G75" s="12"/>
      <c r="H75" s="12">
        <v>20</v>
      </c>
      <c r="I75" s="31">
        <f>5060000/20</f>
        <v>253000</v>
      </c>
      <c r="J75" s="20">
        <f t="shared" si="6"/>
        <v>5060000</v>
      </c>
      <c r="K75" s="20"/>
      <c r="L75" s="20"/>
      <c r="N75" s="49"/>
    </row>
    <row r="76" spans="1:14" s="48" customFormat="1">
      <c r="A76" s="12"/>
      <c r="B76" s="277"/>
      <c r="C76" s="300"/>
      <c r="D76" s="302"/>
      <c r="E76" s="259"/>
      <c r="F76" s="12" t="s">
        <v>153</v>
      </c>
      <c r="G76" s="12" t="s">
        <v>195</v>
      </c>
      <c r="H76" s="12">
        <v>1</v>
      </c>
      <c r="I76" s="31">
        <v>5665000</v>
      </c>
      <c r="J76" s="20">
        <f t="shared" si="6"/>
        <v>5665000</v>
      </c>
      <c r="K76" s="20"/>
      <c r="L76" s="20"/>
      <c r="N76" s="49"/>
    </row>
    <row r="77" spans="1:14" s="48" customFormat="1">
      <c r="A77" s="12"/>
      <c r="B77" s="277"/>
      <c r="C77" s="300"/>
      <c r="D77" s="302"/>
      <c r="E77" s="259"/>
      <c r="F77" s="253" t="s">
        <v>87</v>
      </c>
      <c r="G77" s="12" t="s">
        <v>88</v>
      </c>
      <c r="H77" s="12">
        <v>2</v>
      </c>
      <c r="I77" s="31">
        <v>2992000</v>
      </c>
      <c r="J77" s="20">
        <f t="shared" ref="J77:J81" si="7">I77*H77</f>
        <v>5984000</v>
      </c>
      <c r="K77" s="20">
        <v>850000</v>
      </c>
      <c r="L77" s="20"/>
      <c r="N77" s="49"/>
    </row>
    <row r="78" spans="1:14" s="48" customFormat="1">
      <c r="A78" s="12"/>
      <c r="B78" s="277"/>
      <c r="C78" s="300"/>
      <c r="D78" s="302"/>
      <c r="E78" s="259"/>
      <c r="F78" s="266"/>
      <c r="G78" s="12" t="s">
        <v>89</v>
      </c>
      <c r="H78" s="12">
        <v>2</v>
      </c>
      <c r="I78" s="31">
        <v>3150000</v>
      </c>
      <c r="J78" s="20">
        <f t="shared" si="7"/>
        <v>6300000</v>
      </c>
      <c r="K78" s="20"/>
      <c r="L78" s="20"/>
      <c r="N78" s="49"/>
    </row>
    <row r="79" spans="1:14" s="48" customFormat="1">
      <c r="A79" s="12"/>
      <c r="B79" s="277"/>
      <c r="C79" s="289"/>
      <c r="D79" s="291"/>
      <c r="E79" s="260"/>
      <c r="F79" s="12" t="s">
        <v>90</v>
      </c>
      <c r="G79" s="12" t="s">
        <v>91</v>
      </c>
      <c r="H79" s="12">
        <v>1</v>
      </c>
      <c r="I79" s="31">
        <v>2500000</v>
      </c>
      <c r="J79" s="20">
        <f t="shared" si="7"/>
        <v>2500000</v>
      </c>
      <c r="K79" s="20"/>
      <c r="L79" s="20"/>
      <c r="N79" s="49"/>
    </row>
    <row r="80" spans="1:14" s="48" customFormat="1">
      <c r="A80" s="12"/>
      <c r="B80" s="277"/>
      <c r="C80" s="288" t="s">
        <v>157</v>
      </c>
      <c r="D80" s="290" t="s">
        <v>196</v>
      </c>
      <c r="E80" s="261">
        <v>44327</v>
      </c>
      <c r="F80" s="12" t="s">
        <v>30</v>
      </c>
      <c r="G80" s="12" t="s">
        <v>32</v>
      </c>
      <c r="H80" s="12">
        <v>1</v>
      </c>
      <c r="I80" s="31">
        <v>4974970</v>
      </c>
      <c r="J80" s="20">
        <f t="shared" si="7"/>
        <v>4974970</v>
      </c>
      <c r="K80" s="20">
        <v>600000</v>
      </c>
      <c r="L80" s="20"/>
      <c r="N80" s="49"/>
    </row>
    <row r="81" spans="1:15" s="48" customFormat="1">
      <c r="A81" s="12"/>
      <c r="B81" s="277"/>
      <c r="C81" s="300"/>
      <c r="D81" s="302"/>
      <c r="E81" s="259"/>
      <c r="F81" s="12" t="s">
        <v>94</v>
      </c>
      <c r="G81" s="12"/>
      <c r="H81" s="12">
        <v>1</v>
      </c>
      <c r="I81" s="31">
        <v>6023000</v>
      </c>
      <c r="J81" s="20">
        <f t="shared" si="7"/>
        <v>6023000</v>
      </c>
      <c r="K81" s="20"/>
      <c r="L81" s="20"/>
      <c r="N81" s="49"/>
    </row>
    <row r="82" spans="1:15" s="48" customFormat="1" ht="45">
      <c r="A82" s="12"/>
      <c r="B82" s="277"/>
      <c r="C82" s="289"/>
      <c r="D82" s="291"/>
      <c r="E82" s="260"/>
      <c r="F82" s="12" t="s">
        <v>96</v>
      </c>
      <c r="G82" s="12" t="s">
        <v>97</v>
      </c>
      <c r="H82" s="12">
        <v>1</v>
      </c>
      <c r="I82" s="31">
        <v>7000000</v>
      </c>
      <c r="J82" s="20">
        <f t="shared" ref="J82:J89" si="8">I82*H82</f>
        <v>7000000</v>
      </c>
      <c r="K82" s="20"/>
      <c r="L82" s="20"/>
      <c r="M82" s="49">
        <f>SUM(J54:J85)</f>
        <v>301701547</v>
      </c>
      <c r="N82" s="49">
        <f>SUM(K54:K85)</f>
        <v>18600000</v>
      </c>
      <c r="O82" s="49">
        <f>N82+M82</f>
        <v>320301547</v>
      </c>
    </row>
    <row r="83" spans="1:15" s="48" customFormat="1">
      <c r="A83" s="12"/>
      <c r="B83" s="277"/>
      <c r="C83" s="18"/>
      <c r="D83" s="50"/>
      <c r="E83" s="12"/>
      <c r="F83" s="12" t="s">
        <v>35</v>
      </c>
      <c r="G83" s="12"/>
      <c r="H83" s="12">
        <v>1</v>
      </c>
      <c r="I83" s="31">
        <v>5752050</v>
      </c>
      <c r="J83" s="20">
        <f t="shared" si="8"/>
        <v>5752050</v>
      </c>
      <c r="K83" s="20"/>
      <c r="L83" s="20"/>
      <c r="M83" s="49"/>
      <c r="N83" s="49"/>
      <c r="O83" s="52">
        <v>340051547</v>
      </c>
    </row>
    <row r="84" spans="1:15" s="48" customFormat="1">
      <c r="A84" s="12"/>
      <c r="B84" s="277"/>
      <c r="C84" s="292" t="s">
        <v>160</v>
      </c>
      <c r="D84" s="295"/>
      <c r="E84" s="253"/>
      <c r="F84" s="50" t="s">
        <v>199</v>
      </c>
      <c r="G84" s="12"/>
      <c r="H84" s="12">
        <v>1</v>
      </c>
      <c r="I84" s="31">
        <f>51703514</f>
        <v>51703514</v>
      </c>
      <c r="J84" s="20">
        <f t="shared" si="8"/>
        <v>51703514</v>
      </c>
      <c r="K84" s="20">
        <v>5450000</v>
      </c>
      <c r="L84" s="20"/>
      <c r="N84" s="53"/>
      <c r="O84" s="49">
        <f>O83-30000000-O82</f>
        <v>-10250000</v>
      </c>
    </row>
    <row r="85" spans="1:15" s="48" customFormat="1">
      <c r="A85" s="12"/>
      <c r="B85" s="277"/>
      <c r="C85" s="293"/>
      <c r="D85" s="296"/>
      <c r="E85" s="254"/>
      <c r="F85" s="12" t="s">
        <v>198</v>
      </c>
      <c r="G85" s="12"/>
      <c r="H85" s="12">
        <v>1</v>
      </c>
      <c r="I85" s="31">
        <v>52033513</v>
      </c>
      <c r="J85" s="20">
        <f t="shared" si="8"/>
        <v>52033513</v>
      </c>
      <c r="K85" s="20">
        <v>10250000</v>
      </c>
      <c r="L85" s="20"/>
      <c r="M85" s="49"/>
      <c r="N85" s="49"/>
    </row>
    <row r="86" spans="1:15" s="48" customFormat="1" ht="30">
      <c r="A86" s="12"/>
      <c r="B86" s="277"/>
      <c r="C86" s="293"/>
      <c r="D86" s="296"/>
      <c r="E86" s="254"/>
      <c r="F86" s="12" t="s">
        <v>201</v>
      </c>
      <c r="G86" s="12"/>
      <c r="H86" s="12">
        <v>1</v>
      </c>
      <c r="I86" s="31">
        <v>69631657</v>
      </c>
      <c r="J86" s="20">
        <f t="shared" si="8"/>
        <v>69631657</v>
      </c>
      <c r="K86" s="20"/>
      <c r="L86" s="20"/>
      <c r="M86" s="49"/>
      <c r="N86" s="49"/>
      <c r="O86" s="49"/>
    </row>
    <row r="87" spans="1:15" s="48" customFormat="1" ht="30">
      <c r="A87" s="12"/>
      <c r="B87" s="277"/>
      <c r="C87" s="293"/>
      <c r="D87" s="296"/>
      <c r="E87" s="254"/>
      <c r="F87" s="12" t="s">
        <v>202</v>
      </c>
      <c r="G87" s="12"/>
      <c r="H87" s="12">
        <v>1</v>
      </c>
      <c r="I87" s="31">
        <v>67720000</v>
      </c>
      <c r="J87" s="20">
        <f t="shared" si="8"/>
        <v>67720000</v>
      </c>
      <c r="K87" s="20"/>
      <c r="L87" s="20"/>
      <c r="N87" s="49"/>
      <c r="O87" s="49"/>
    </row>
    <row r="88" spans="1:15" s="48" customFormat="1" ht="30">
      <c r="A88" s="12"/>
      <c r="B88" s="277"/>
      <c r="C88" s="293"/>
      <c r="D88" s="296"/>
      <c r="E88" s="254"/>
      <c r="F88" s="12" t="s">
        <v>203</v>
      </c>
      <c r="G88" s="12"/>
      <c r="H88" s="12">
        <v>1</v>
      </c>
      <c r="I88" s="31">
        <v>90480000</v>
      </c>
      <c r="J88" s="20">
        <f t="shared" si="8"/>
        <v>90480000</v>
      </c>
      <c r="K88" s="20"/>
      <c r="L88" s="20"/>
      <c r="N88" s="49"/>
    </row>
    <row r="89" spans="1:15" s="48" customFormat="1">
      <c r="A89" s="13"/>
      <c r="B89" s="278"/>
      <c r="C89" s="294"/>
      <c r="D89" s="297"/>
      <c r="E89" s="255"/>
      <c r="F89" s="13" t="s">
        <v>204</v>
      </c>
      <c r="G89" s="13"/>
      <c r="H89" s="13">
        <v>1</v>
      </c>
      <c r="I89" s="35">
        <v>72150000</v>
      </c>
      <c r="J89" s="54">
        <f t="shared" si="8"/>
        <v>72150000</v>
      </c>
      <c r="K89" s="54"/>
      <c r="L89" s="54"/>
      <c r="N89" s="49"/>
    </row>
    <row r="90" spans="1:15" s="40" customFormat="1">
      <c r="A90" s="14"/>
      <c r="B90" s="14"/>
      <c r="C90" s="14"/>
      <c r="D90" s="8"/>
      <c r="E90" s="14"/>
      <c r="F90" s="14"/>
      <c r="G90" s="14"/>
      <c r="H90" s="14"/>
      <c r="I90" s="37"/>
      <c r="J90" s="38">
        <f>SUM(J54:J89)</f>
        <v>601683204</v>
      </c>
      <c r="K90" s="38">
        <f>SUM(K54:K89)</f>
        <v>18600000</v>
      </c>
      <c r="L90" s="38">
        <f>J90+K90</f>
        <v>620283204</v>
      </c>
      <c r="M90" s="46" t="e">
        <f>L90-'BM FIX'!#REF!</f>
        <v>#REF!</v>
      </c>
      <c r="N90" s="46"/>
    </row>
    <row r="91" spans="1:15" ht="30">
      <c r="A91" s="15"/>
      <c r="B91" s="276" t="s">
        <v>116</v>
      </c>
      <c r="C91" s="299" t="s">
        <v>140</v>
      </c>
      <c r="D91" s="301" t="s">
        <v>141</v>
      </c>
      <c r="E91" s="258">
        <v>44525</v>
      </c>
      <c r="F91" s="15" t="s">
        <v>73</v>
      </c>
      <c r="G91" s="15" t="s">
        <v>134</v>
      </c>
      <c r="H91" s="15">
        <v>2</v>
      </c>
      <c r="I91" s="19">
        <v>11580000</v>
      </c>
      <c r="J91" s="41">
        <f>I91*H91</f>
        <v>23160000</v>
      </c>
      <c r="K91" s="41">
        <v>900000</v>
      </c>
      <c r="L91" s="15"/>
    </row>
    <row r="92" spans="1:15" ht="30">
      <c r="A92" s="12"/>
      <c r="B92" s="277"/>
      <c r="C92" s="300"/>
      <c r="D92" s="302"/>
      <c r="E92" s="259"/>
      <c r="F92" s="12" t="s">
        <v>33</v>
      </c>
      <c r="G92" s="12" t="s">
        <v>135</v>
      </c>
      <c r="H92" s="12">
        <v>1</v>
      </c>
      <c r="I92" s="20">
        <v>7410000</v>
      </c>
      <c r="J92" s="31">
        <f>I92*H92</f>
        <v>7410000</v>
      </c>
      <c r="K92" s="31"/>
      <c r="L92" s="12"/>
    </row>
    <row r="93" spans="1:15">
      <c r="A93" s="12"/>
      <c r="B93" s="277"/>
      <c r="C93" s="300"/>
      <c r="D93" s="302"/>
      <c r="E93" s="259"/>
      <c r="F93" s="12"/>
      <c r="G93" s="12" t="s">
        <v>136</v>
      </c>
      <c r="H93" s="12">
        <v>1</v>
      </c>
      <c r="I93" s="20">
        <v>7300000</v>
      </c>
      <c r="J93" s="31">
        <f t="shared" ref="J93:J113" si="9">I93*H93</f>
        <v>7300000</v>
      </c>
      <c r="K93" s="31"/>
      <c r="L93" s="12"/>
    </row>
    <row r="94" spans="1:15">
      <c r="A94" s="12"/>
      <c r="B94" s="277"/>
      <c r="C94" s="300"/>
      <c r="D94" s="302"/>
      <c r="E94" s="259"/>
      <c r="F94" s="12" t="s">
        <v>37</v>
      </c>
      <c r="G94" s="12" t="s">
        <v>137</v>
      </c>
      <c r="H94" s="12">
        <v>1</v>
      </c>
      <c r="I94" s="31">
        <v>1800000</v>
      </c>
      <c r="J94" s="31">
        <f t="shared" si="9"/>
        <v>1800000</v>
      </c>
      <c r="K94" s="31"/>
      <c r="L94" s="12"/>
    </row>
    <row r="95" spans="1:15">
      <c r="A95" s="12"/>
      <c r="B95" s="277"/>
      <c r="C95" s="300"/>
      <c r="D95" s="302"/>
      <c r="E95" s="259"/>
      <c r="F95" s="12"/>
      <c r="G95" s="12" t="s">
        <v>138</v>
      </c>
      <c r="H95" s="12">
        <v>1</v>
      </c>
      <c r="I95" s="31">
        <v>1800000</v>
      </c>
      <c r="J95" s="31">
        <f t="shared" si="9"/>
        <v>1800000</v>
      </c>
      <c r="K95" s="31"/>
      <c r="L95" s="12"/>
    </row>
    <row r="96" spans="1:15">
      <c r="A96" s="12"/>
      <c r="B96" s="277"/>
      <c r="C96" s="289"/>
      <c r="D96" s="291"/>
      <c r="E96" s="260"/>
      <c r="F96" s="12"/>
      <c r="G96" s="12" t="s">
        <v>139</v>
      </c>
      <c r="H96" s="12">
        <v>1</v>
      </c>
      <c r="I96" s="31">
        <v>6950000</v>
      </c>
      <c r="J96" s="31">
        <f t="shared" si="9"/>
        <v>6950000</v>
      </c>
      <c r="K96" s="31"/>
      <c r="L96" s="12"/>
      <c r="N96" s="33">
        <f>SUM(J91:J96)</f>
        <v>48420000</v>
      </c>
    </row>
    <row r="97" spans="1:14">
      <c r="A97" s="12"/>
      <c r="B97" s="277"/>
      <c r="C97" s="288" t="s">
        <v>60</v>
      </c>
      <c r="D97" s="290" t="s">
        <v>142</v>
      </c>
      <c r="E97" s="261">
        <v>44448</v>
      </c>
      <c r="F97" s="12" t="s">
        <v>62</v>
      </c>
      <c r="G97" s="12" t="s">
        <v>127</v>
      </c>
      <c r="H97" s="12">
        <v>1</v>
      </c>
      <c r="I97" s="31">
        <v>300000</v>
      </c>
      <c r="J97" s="31">
        <f t="shared" si="9"/>
        <v>300000</v>
      </c>
      <c r="K97" s="31"/>
      <c r="L97" s="12"/>
    </row>
    <row r="98" spans="1:14">
      <c r="A98" s="12"/>
      <c r="B98" s="277"/>
      <c r="C98" s="300"/>
      <c r="D98" s="302"/>
      <c r="E98" s="259"/>
      <c r="F98" s="12" t="s">
        <v>128</v>
      </c>
      <c r="G98" s="12" t="s">
        <v>129</v>
      </c>
      <c r="H98" s="12">
        <v>1</v>
      </c>
      <c r="I98" s="31">
        <v>1200000</v>
      </c>
      <c r="J98" s="31">
        <f t="shared" si="9"/>
        <v>1200000</v>
      </c>
      <c r="K98" s="31"/>
      <c r="L98" s="12"/>
    </row>
    <row r="99" spans="1:14">
      <c r="A99" s="12"/>
      <c r="B99" s="277"/>
      <c r="C99" s="300"/>
      <c r="D99" s="302"/>
      <c r="E99" s="259"/>
      <c r="F99" s="12" t="s">
        <v>65</v>
      </c>
      <c r="G99" s="12"/>
      <c r="H99" s="12">
        <v>1</v>
      </c>
      <c r="I99" s="31">
        <v>700000</v>
      </c>
      <c r="J99" s="31">
        <f t="shared" si="9"/>
        <v>700000</v>
      </c>
      <c r="K99" s="31"/>
      <c r="L99" s="12"/>
    </row>
    <row r="100" spans="1:14">
      <c r="A100" s="12"/>
      <c r="B100" s="277"/>
      <c r="C100" s="300"/>
      <c r="D100" s="302"/>
      <c r="E100" s="259"/>
      <c r="F100" s="12" t="s">
        <v>130</v>
      </c>
      <c r="G100" s="51" t="s">
        <v>131</v>
      </c>
      <c r="H100" s="12">
        <v>1</v>
      </c>
      <c r="I100" s="31">
        <v>500000</v>
      </c>
      <c r="J100" s="31">
        <f t="shared" si="9"/>
        <v>500000</v>
      </c>
      <c r="K100" s="31"/>
      <c r="L100" s="12"/>
    </row>
    <row r="101" spans="1:14">
      <c r="A101" s="12"/>
      <c r="B101" s="277"/>
      <c r="C101" s="300"/>
      <c r="D101" s="302"/>
      <c r="E101" s="259"/>
      <c r="F101" s="12" t="s">
        <v>144</v>
      </c>
      <c r="G101" s="51"/>
      <c r="H101" s="12">
        <v>1</v>
      </c>
      <c r="I101" s="31">
        <v>700000</v>
      </c>
      <c r="J101" s="31">
        <f t="shared" si="9"/>
        <v>700000</v>
      </c>
      <c r="K101" s="31"/>
      <c r="L101" s="12"/>
    </row>
    <row r="102" spans="1:14">
      <c r="A102" s="12"/>
      <c r="B102" s="277"/>
      <c r="C102" s="300"/>
      <c r="D102" s="302"/>
      <c r="E102" s="259"/>
      <c r="F102" s="12" t="s">
        <v>145</v>
      </c>
      <c r="G102" s="51"/>
      <c r="H102" s="12">
        <v>1</v>
      </c>
      <c r="I102" s="31">
        <v>3600000</v>
      </c>
      <c r="J102" s="31">
        <f t="shared" si="9"/>
        <v>3600000</v>
      </c>
      <c r="K102" s="31"/>
      <c r="L102" s="12"/>
    </row>
    <row r="103" spans="1:14">
      <c r="A103" s="12"/>
      <c r="B103" s="277"/>
      <c r="C103" s="300"/>
      <c r="D103" s="302"/>
      <c r="E103" s="259"/>
      <c r="F103" s="12" t="s">
        <v>146</v>
      </c>
      <c r="G103" s="51" t="s">
        <v>147</v>
      </c>
      <c r="H103" s="12">
        <v>1</v>
      </c>
      <c r="I103" s="31">
        <v>2300000</v>
      </c>
      <c r="J103" s="31">
        <f t="shared" si="9"/>
        <v>2300000</v>
      </c>
      <c r="K103" s="31"/>
      <c r="L103" s="12"/>
    </row>
    <row r="104" spans="1:14">
      <c r="A104" s="12"/>
      <c r="B104" s="277"/>
      <c r="C104" s="300"/>
      <c r="D104" s="302"/>
      <c r="E104" s="259"/>
      <c r="F104" s="12" t="s">
        <v>148</v>
      </c>
      <c r="G104" s="51"/>
      <c r="H104" s="12">
        <v>2</v>
      </c>
      <c r="I104" s="31">
        <v>600000</v>
      </c>
      <c r="J104" s="31">
        <f t="shared" si="9"/>
        <v>1200000</v>
      </c>
      <c r="K104" s="31"/>
      <c r="L104" s="12"/>
    </row>
    <row r="105" spans="1:14">
      <c r="A105" s="12"/>
      <c r="B105" s="277"/>
      <c r="C105" s="289"/>
      <c r="D105" s="291"/>
      <c r="E105" s="260"/>
      <c r="F105" s="12" t="s">
        <v>54</v>
      </c>
      <c r="G105" s="51"/>
      <c r="H105" s="12">
        <v>1</v>
      </c>
      <c r="I105" s="31">
        <v>8000000</v>
      </c>
      <c r="J105" s="31">
        <f t="shared" si="9"/>
        <v>8000000</v>
      </c>
      <c r="K105" s="31"/>
      <c r="L105" s="12"/>
      <c r="N105" s="33">
        <f>SUM(J97:J105)</f>
        <v>18500000</v>
      </c>
    </row>
    <row r="106" spans="1:14">
      <c r="A106" s="12"/>
      <c r="B106" s="277"/>
      <c r="C106" s="56" t="s">
        <v>162</v>
      </c>
      <c r="D106" s="18" t="s">
        <v>163</v>
      </c>
      <c r="E106" s="42">
        <v>44365</v>
      </c>
      <c r="F106" s="12" t="s">
        <v>20</v>
      </c>
      <c r="G106" s="12" t="s">
        <v>143</v>
      </c>
      <c r="H106" s="12">
        <v>1</v>
      </c>
      <c r="I106" s="31">
        <v>48310000</v>
      </c>
      <c r="J106" s="31">
        <f t="shared" si="9"/>
        <v>48310000</v>
      </c>
      <c r="K106" s="31">
        <v>600000</v>
      </c>
      <c r="L106" s="12"/>
    </row>
    <row r="107" spans="1:14">
      <c r="A107" s="12"/>
      <c r="B107" s="277"/>
      <c r="C107" s="12"/>
      <c r="D107" s="74"/>
      <c r="E107" s="12"/>
      <c r="F107" s="12" t="s">
        <v>111</v>
      </c>
      <c r="G107" s="12"/>
      <c r="H107" s="12">
        <v>1</v>
      </c>
      <c r="I107" s="31">
        <v>5000000</v>
      </c>
      <c r="J107" s="31">
        <f t="shared" si="9"/>
        <v>5000000</v>
      </c>
      <c r="K107" s="31"/>
      <c r="L107" s="12"/>
    </row>
    <row r="108" spans="1:14">
      <c r="A108" s="12"/>
      <c r="B108" s="277"/>
      <c r="C108" s="288" t="s">
        <v>149</v>
      </c>
      <c r="D108" s="290" t="s">
        <v>150</v>
      </c>
      <c r="E108" s="261">
        <v>44327</v>
      </c>
      <c r="F108" s="12" t="s">
        <v>42</v>
      </c>
      <c r="G108" s="12"/>
      <c r="H108" s="12">
        <v>4</v>
      </c>
      <c r="I108" s="31">
        <v>2139500</v>
      </c>
      <c r="J108" s="31">
        <f t="shared" si="9"/>
        <v>8558000</v>
      </c>
      <c r="K108" s="31"/>
      <c r="L108" s="12"/>
    </row>
    <row r="109" spans="1:14">
      <c r="A109" s="12"/>
      <c r="B109" s="277"/>
      <c r="C109" s="300"/>
      <c r="D109" s="302"/>
      <c r="E109" s="259"/>
      <c r="F109" s="12" t="s">
        <v>151</v>
      </c>
      <c r="G109" s="12"/>
      <c r="H109" s="12">
        <v>1</v>
      </c>
      <c r="I109" s="31">
        <v>4840000</v>
      </c>
      <c r="J109" s="31">
        <f t="shared" si="9"/>
        <v>4840000</v>
      </c>
      <c r="K109" s="31"/>
      <c r="L109" s="12"/>
    </row>
    <row r="110" spans="1:14">
      <c r="A110" s="12"/>
      <c r="B110" s="277"/>
      <c r="C110" s="300"/>
      <c r="D110" s="302"/>
      <c r="E110" s="259"/>
      <c r="F110" s="12" t="s">
        <v>46</v>
      </c>
      <c r="G110" s="12"/>
      <c r="H110" s="12">
        <v>4</v>
      </c>
      <c r="I110" s="31">
        <v>1925000</v>
      </c>
      <c r="J110" s="31">
        <f t="shared" si="9"/>
        <v>7700000</v>
      </c>
      <c r="K110" s="31"/>
      <c r="L110" s="12"/>
    </row>
    <row r="111" spans="1:14">
      <c r="A111" s="12"/>
      <c r="B111" s="277"/>
      <c r="C111" s="300"/>
      <c r="D111" s="302"/>
      <c r="E111" s="259"/>
      <c r="F111" s="12" t="s">
        <v>152</v>
      </c>
      <c r="G111" s="12" t="s">
        <v>82</v>
      </c>
      <c r="H111" s="12">
        <v>75</v>
      </c>
      <c r="I111" s="31">
        <v>140800</v>
      </c>
      <c r="J111" s="31">
        <f t="shared" si="9"/>
        <v>10560000</v>
      </c>
      <c r="K111" s="31"/>
      <c r="L111" s="12"/>
    </row>
    <row r="112" spans="1:14">
      <c r="A112" s="12"/>
      <c r="B112" s="277"/>
      <c r="C112" s="300"/>
      <c r="D112" s="302"/>
      <c r="E112" s="259"/>
      <c r="F112" s="12" t="s">
        <v>153</v>
      </c>
      <c r="G112" s="12" t="s">
        <v>84</v>
      </c>
      <c r="H112" s="12">
        <v>1</v>
      </c>
      <c r="I112" s="31">
        <v>6000000</v>
      </c>
      <c r="J112" s="31">
        <v>5800000</v>
      </c>
      <c r="K112" s="31"/>
      <c r="L112" s="32"/>
    </row>
    <row r="113" spans="1:15">
      <c r="A113" s="12"/>
      <c r="B113" s="277"/>
      <c r="C113" s="300"/>
      <c r="D113" s="302"/>
      <c r="E113" s="259"/>
      <c r="F113" s="12" t="s">
        <v>85</v>
      </c>
      <c r="G113" s="12" t="s">
        <v>154</v>
      </c>
      <c r="H113" s="12">
        <v>1</v>
      </c>
      <c r="I113" s="31">
        <f>3500000-10500</f>
        <v>3489500</v>
      </c>
      <c r="J113" s="31">
        <f t="shared" si="9"/>
        <v>3489500</v>
      </c>
      <c r="K113" s="31"/>
      <c r="L113" s="12"/>
    </row>
    <row r="114" spans="1:15">
      <c r="A114" s="12"/>
      <c r="B114" s="277"/>
      <c r="C114" s="300"/>
      <c r="D114" s="302"/>
      <c r="E114" s="259"/>
      <c r="F114" s="257" t="s">
        <v>87</v>
      </c>
      <c r="G114" s="12" t="s">
        <v>88</v>
      </c>
      <c r="H114" s="12">
        <v>2</v>
      </c>
      <c r="I114" s="31">
        <v>3400000</v>
      </c>
      <c r="J114" s="31">
        <f>I114*H114</f>
        <v>6800000</v>
      </c>
      <c r="K114" s="31">
        <v>900000</v>
      </c>
      <c r="L114" s="32"/>
    </row>
    <row r="115" spans="1:15">
      <c r="A115" s="12"/>
      <c r="B115" s="277"/>
      <c r="C115" s="300"/>
      <c r="D115" s="302"/>
      <c r="E115" s="259"/>
      <c r="F115" s="257"/>
      <c r="G115" s="12" t="s">
        <v>89</v>
      </c>
      <c r="H115" s="12">
        <v>2</v>
      </c>
      <c r="I115" s="31">
        <v>3400000</v>
      </c>
      <c r="J115" s="31">
        <f t="shared" ref="J115:J117" si="10">I115*H115</f>
        <v>6800000</v>
      </c>
      <c r="K115" s="31"/>
      <c r="L115" s="12"/>
    </row>
    <row r="116" spans="1:15">
      <c r="A116" s="12"/>
      <c r="B116" s="277"/>
      <c r="C116" s="289"/>
      <c r="D116" s="291"/>
      <c r="E116" s="260"/>
      <c r="F116" s="12" t="s">
        <v>90</v>
      </c>
      <c r="G116" s="12" t="s">
        <v>91</v>
      </c>
      <c r="H116" s="12">
        <v>2</v>
      </c>
      <c r="I116" s="31">
        <f>5012000/2</f>
        <v>2506000</v>
      </c>
      <c r="J116" s="31">
        <f t="shared" si="10"/>
        <v>5012000</v>
      </c>
      <c r="K116" s="31"/>
      <c r="L116" s="12"/>
      <c r="N116" s="33"/>
    </row>
    <row r="117" spans="1:15">
      <c r="A117" s="12"/>
      <c r="B117" s="277"/>
      <c r="C117" s="288" t="s">
        <v>155</v>
      </c>
      <c r="D117" s="290" t="s">
        <v>156</v>
      </c>
      <c r="E117" s="261">
        <v>44327</v>
      </c>
      <c r="F117" s="12" t="s">
        <v>94</v>
      </c>
      <c r="G117" s="12" t="s">
        <v>95</v>
      </c>
      <c r="H117" s="12">
        <v>1</v>
      </c>
      <c r="I117" s="31">
        <v>2942500</v>
      </c>
      <c r="J117" s="31">
        <f t="shared" si="10"/>
        <v>2942500</v>
      </c>
      <c r="K117" s="31"/>
      <c r="L117" s="12"/>
      <c r="N117" s="33"/>
    </row>
    <row r="118" spans="1:15" ht="45" customHeight="1">
      <c r="A118" s="12"/>
      <c r="B118" s="277"/>
      <c r="C118" s="289"/>
      <c r="D118" s="291"/>
      <c r="E118" s="260"/>
      <c r="F118" s="12" t="s">
        <v>96</v>
      </c>
      <c r="G118" s="12" t="s">
        <v>97</v>
      </c>
      <c r="H118" s="12">
        <v>1</v>
      </c>
      <c r="I118" s="31">
        <v>6889850</v>
      </c>
      <c r="J118" s="31">
        <v>6889850</v>
      </c>
      <c r="K118" s="31"/>
      <c r="L118" s="12"/>
    </row>
    <row r="119" spans="1:15">
      <c r="A119" s="12"/>
      <c r="B119" s="277"/>
      <c r="C119" s="288" t="s">
        <v>157</v>
      </c>
      <c r="D119" s="290" t="s">
        <v>158</v>
      </c>
      <c r="E119" s="261">
        <v>44327</v>
      </c>
      <c r="F119" s="12" t="s">
        <v>30</v>
      </c>
      <c r="G119" s="12" t="s">
        <v>31</v>
      </c>
      <c r="H119" s="12">
        <v>2</v>
      </c>
      <c r="I119" s="31">
        <f>9949900/2</f>
        <v>4974950</v>
      </c>
      <c r="J119" s="31">
        <f>I119*H119</f>
        <v>9949900</v>
      </c>
      <c r="K119" s="31">
        <v>850000</v>
      </c>
      <c r="L119" s="12"/>
    </row>
    <row r="120" spans="1:15">
      <c r="A120" s="12"/>
      <c r="B120" s="277"/>
      <c r="C120" s="289"/>
      <c r="D120" s="291"/>
      <c r="E120" s="260"/>
      <c r="F120" s="12" t="s">
        <v>159</v>
      </c>
      <c r="G120" s="12"/>
      <c r="H120" s="12">
        <v>1</v>
      </c>
      <c r="I120" s="31">
        <v>7340000</v>
      </c>
      <c r="J120" s="31">
        <f>I120*H120</f>
        <v>7340000</v>
      </c>
      <c r="K120" s="31"/>
      <c r="L120" s="12"/>
    </row>
    <row r="121" spans="1:15">
      <c r="A121" s="12"/>
      <c r="B121" s="277"/>
      <c r="C121" s="12" t="s">
        <v>104</v>
      </c>
      <c r="D121" s="74"/>
      <c r="E121" s="12"/>
      <c r="F121" s="12" t="s">
        <v>105</v>
      </c>
      <c r="G121" s="12" t="s">
        <v>106</v>
      </c>
      <c r="H121" s="12">
        <v>1</v>
      </c>
      <c r="I121" s="31">
        <v>3500000</v>
      </c>
      <c r="J121" s="31">
        <f t="shared" ref="J121:J122" si="11">I121</f>
        <v>3500000</v>
      </c>
      <c r="K121" s="31"/>
      <c r="L121" s="12"/>
      <c r="N121" s="57"/>
    </row>
    <row r="122" spans="1:15" ht="30">
      <c r="A122" s="12"/>
      <c r="B122" s="277"/>
      <c r="C122" s="12" t="s">
        <v>109</v>
      </c>
      <c r="D122" s="74"/>
      <c r="E122" s="12"/>
      <c r="F122" s="12" t="s">
        <v>107</v>
      </c>
      <c r="G122" s="12"/>
      <c r="H122" s="12">
        <v>1</v>
      </c>
      <c r="I122" s="31">
        <v>995000</v>
      </c>
      <c r="J122" s="31">
        <f t="shared" si="11"/>
        <v>995000</v>
      </c>
      <c r="K122" s="31"/>
      <c r="L122" s="12"/>
      <c r="N122" s="33"/>
    </row>
    <row r="123" spans="1:15">
      <c r="A123" s="12"/>
      <c r="B123" s="277"/>
      <c r="C123" s="12" t="s">
        <v>110</v>
      </c>
      <c r="D123" s="74"/>
      <c r="E123" s="12"/>
      <c r="F123" s="12" t="s">
        <v>108</v>
      </c>
      <c r="G123" s="12"/>
      <c r="H123" s="12">
        <v>2</v>
      </c>
      <c r="I123" s="31">
        <v>600000</v>
      </c>
      <c r="J123" s="31">
        <f>I123*H123</f>
        <v>1200000</v>
      </c>
      <c r="K123" s="31"/>
      <c r="L123" s="12"/>
      <c r="O123" s="33">
        <f>340456750-30000000-O124</f>
        <v>0</v>
      </c>
    </row>
    <row r="124" spans="1:15">
      <c r="A124" s="12"/>
      <c r="B124" s="277"/>
      <c r="C124" s="253" t="s">
        <v>160</v>
      </c>
      <c r="D124" s="270"/>
      <c r="E124" s="253"/>
      <c r="F124" s="12" t="s">
        <v>161</v>
      </c>
      <c r="G124" s="12"/>
      <c r="H124" s="12">
        <v>1</v>
      </c>
      <c r="I124" s="31">
        <v>91600000</v>
      </c>
      <c r="J124" s="31">
        <f>I124</f>
        <v>91600000</v>
      </c>
      <c r="K124" s="31">
        <v>3000000</v>
      </c>
      <c r="L124" s="32"/>
      <c r="M124" s="33">
        <f>K124+J124</f>
        <v>94600000</v>
      </c>
      <c r="N124" s="33"/>
      <c r="O124" s="33">
        <f>N125+O125</f>
        <v>310456750</v>
      </c>
    </row>
    <row r="125" spans="1:15" ht="30">
      <c r="A125" s="12"/>
      <c r="B125" s="277"/>
      <c r="C125" s="254"/>
      <c r="D125" s="271"/>
      <c r="E125" s="254"/>
      <c r="F125" s="12" t="s">
        <v>164</v>
      </c>
      <c r="G125" s="12"/>
      <c r="H125" s="12">
        <v>1</v>
      </c>
      <c r="I125" s="31">
        <v>72300000</v>
      </c>
      <c r="J125" s="31">
        <f>I125</f>
        <v>72300000</v>
      </c>
      <c r="K125" s="58">
        <v>10250000</v>
      </c>
      <c r="L125" s="12"/>
      <c r="N125" s="33">
        <f>SUM(J91:J124)</f>
        <v>304206750</v>
      </c>
      <c r="O125" s="33">
        <f>SUM(K91:K124)</f>
        <v>6250000</v>
      </c>
    </row>
    <row r="126" spans="1:15">
      <c r="A126" s="12"/>
      <c r="B126" s="277"/>
      <c r="C126" s="254"/>
      <c r="D126" s="271"/>
      <c r="E126" s="254"/>
      <c r="F126" s="21" t="s">
        <v>166</v>
      </c>
      <c r="G126" s="12"/>
      <c r="H126" s="12">
        <v>1</v>
      </c>
      <c r="I126" s="59">
        <v>72250000</v>
      </c>
      <c r="J126" s="31">
        <f t="shared" ref="J126:J128" si="12">I126</f>
        <v>72250000</v>
      </c>
      <c r="K126" s="31"/>
      <c r="L126" s="12"/>
      <c r="N126" s="33"/>
    </row>
    <row r="127" spans="1:15" ht="24">
      <c r="A127" s="12"/>
      <c r="B127" s="277"/>
      <c r="C127" s="254"/>
      <c r="D127" s="271"/>
      <c r="E127" s="254"/>
      <c r="F127" s="21" t="s">
        <v>167</v>
      </c>
      <c r="G127" s="12"/>
      <c r="H127" s="12">
        <v>1</v>
      </c>
      <c r="I127" s="59">
        <v>50000000</v>
      </c>
      <c r="J127" s="31">
        <f t="shared" si="12"/>
        <v>50000000</v>
      </c>
      <c r="K127" s="31"/>
      <c r="L127" s="12"/>
    </row>
    <row r="128" spans="1:15" ht="24">
      <c r="A128" s="12"/>
      <c r="B128" s="277"/>
      <c r="C128" s="254"/>
      <c r="D128" s="271"/>
      <c r="E128" s="254"/>
      <c r="F128" s="21" t="s">
        <v>168</v>
      </c>
      <c r="G128" s="12"/>
      <c r="H128" s="12">
        <v>1</v>
      </c>
      <c r="I128" s="59">
        <v>50225000</v>
      </c>
      <c r="J128" s="31">
        <f t="shared" si="12"/>
        <v>50225000</v>
      </c>
      <c r="K128" s="31"/>
      <c r="L128" s="12"/>
    </row>
    <row r="129" spans="1:15">
      <c r="A129" s="22"/>
      <c r="B129" s="278"/>
      <c r="C129" s="255"/>
      <c r="D129" s="298"/>
      <c r="E129" s="255"/>
      <c r="F129" s="22" t="s">
        <v>165</v>
      </c>
      <c r="G129" s="22"/>
      <c r="H129" s="22">
        <v>1</v>
      </c>
      <c r="I129" s="60">
        <v>52200000</v>
      </c>
      <c r="J129" s="60">
        <f>I129</f>
        <v>52200000</v>
      </c>
      <c r="K129" s="60">
        <v>3000000</v>
      </c>
      <c r="L129" s="22"/>
      <c r="N129" s="33">
        <f>SUM(J125:J128)</f>
        <v>244775000</v>
      </c>
      <c r="O129" s="33">
        <f>N129+K125</f>
        <v>255025000</v>
      </c>
    </row>
    <row r="130" spans="1:15" s="40" customFormat="1">
      <c r="A130" s="14"/>
      <c r="B130" s="14"/>
      <c r="C130" s="14"/>
      <c r="D130" s="8"/>
      <c r="E130" s="14"/>
      <c r="F130" s="14"/>
      <c r="G130" s="14"/>
      <c r="H130" s="14"/>
      <c r="I130" s="37"/>
      <c r="J130" s="38">
        <f>SUM(J91:J129)</f>
        <v>601181750</v>
      </c>
      <c r="K130" s="38">
        <f>SUM(K91:K129)</f>
        <v>19500000</v>
      </c>
      <c r="L130" s="39">
        <f>J130+K130</f>
        <v>620681750</v>
      </c>
      <c r="M130" s="46" t="e">
        <f>L130-'BM FIX'!#REF!</f>
        <v>#REF!</v>
      </c>
      <c r="N130" s="46">
        <f>SUM(I125:I129)</f>
        <v>296975000</v>
      </c>
      <c r="O130" s="46">
        <f>SUM(K125:K129)</f>
        <v>13250000</v>
      </c>
    </row>
    <row r="131" spans="1:15" ht="30">
      <c r="A131" s="15"/>
      <c r="B131" s="276" t="s">
        <v>205</v>
      </c>
      <c r="C131" s="275" t="s">
        <v>173</v>
      </c>
      <c r="D131" s="310" t="s">
        <v>206</v>
      </c>
      <c r="E131" s="258">
        <v>44525</v>
      </c>
      <c r="F131" s="15" t="s">
        <v>73</v>
      </c>
      <c r="G131" s="15" t="s">
        <v>207</v>
      </c>
      <c r="H131" s="15">
        <v>1</v>
      </c>
      <c r="I131" s="41">
        <v>10050000</v>
      </c>
      <c r="J131" s="41">
        <f>I131*H131</f>
        <v>10050000</v>
      </c>
      <c r="K131" s="41">
        <v>900000</v>
      </c>
      <c r="L131" s="15"/>
      <c r="O131" s="33"/>
    </row>
    <row r="132" spans="1:15">
      <c r="A132" s="15"/>
      <c r="B132" s="277"/>
      <c r="C132" s="254"/>
      <c r="D132" s="271"/>
      <c r="E132" s="259"/>
      <c r="F132" s="15" t="s">
        <v>33</v>
      </c>
      <c r="G132" s="15" t="s">
        <v>208</v>
      </c>
      <c r="H132" s="15">
        <v>1</v>
      </c>
      <c r="I132" s="41">
        <v>7420000</v>
      </c>
      <c r="J132" s="41">
        <f>I132*H132</f>
        <v>7420000</v>
      </c>
      <c r="K132" s="41"/>
      <c r="L132" s="15"/>
      <c r="O132" s="33"/>
    </row>
    <row r="133" spans="1:15">
      <c r="A133" s="15"/>
      <c r="B133" s="277"/>
      <c r="C133" s="254"/>
      <c r="D133" s="271"/>
      <c r="E133" s="259"/>
      <c r="F133" s="15" t="s">
        <v>33</v>
      </c>
      <c r="G133" s="15" t="s">
        <v>209</v>
      </c>
      <c r="H133" s="15">
        <v>1</v>
      </c>
      <c r="I133" s="41">
        <v>7420000</v>
      </c>
      <c r="J133" s="41">
        <f t="shared" ref="J133:J146" si="13">I133*H133</f>
        <v>7420000</v>
      </c>
      <c r="K133" s="41"/>
      <c r="L133" s="15"/>
      <c r="O133" s="33"/>
    </row>
    <row r="134" spans="1:15">
      <c r="A134" s="15"/>
      <c r="B134" s="277"/>
      <c r="C134" s="254"/>
      <c r="D134" s="271"/>
      <c r="E134" s="259"/>
      <c r="F134" s="15" t="s">
        <v>37</v>
      </c>
      <c r="G134" s="15" t="s">
        <v>210</v>
      </c>
      <c r="H134" s="15">
        <v>2</v>
      </c>
      <c r="I134" s="41">
        <v>1820000</v>
      </c>
      <c r="J134" s="41">
        <f t="shared" si="13"/>
        <v>3640000</v>
      </c>
      <c r="K134" s="41"/>
      <c r="L134" s="15"/>
      <c r="O134" s="33"/>
    </row>
    <row r="135" spans="1:15">
      <c r="A135" s="15"/>
      <c r="B135" s="277"/>
      <c r="C135" s="266"/>
      <c r="D135" s="272"/>
      <c r="E135" s="260"/>
      <c r="F135" s="15" t="s">
        <v>35</v>
      </c>
      <c r="G135" s="15" t="s">
        <v>211</v>
      </c>
      <c r="H135" s="15">
        <v>1</v>
      </c>
      <c r="I135" s="41">
        <v>6930000</v>
      </c>
      <c r="J135" s="41">
        <f t="shared" si="13"/>
        <v>6930000</v>
      </c>
      <c r="K135" s="41"/>
      <c r="L135" s="15"/>
      <c r="O135" s="33"/>
    </row>
    <row r="136" spans="1:15">
      <c r="A136" s="15"/>
      <c r="B136" s="277"/>
      <c r="C136" s="288" t="s">
        <v>60</v>
      </c>
      <c r="D136" s="290" t="s">
        <v>212</v>
      </c>
      <c r="E136" s="261">
        <v>44485</v>
      </c>
      <c r="F136" s="15" t="s">
        <v>213</v>
      </c>
      <c r="G136" s="61" t="s">
        <v>214</v>
      </c>
      <c r="H136" s="15">
        <v>1</v>
      </c>
      <c r="I136" s="41">
        <v>3000000</v>
      </c>
      <c r="J136" s="41">
        <f t="shared" si="13"/>
        <v>3000000</v>
      </c>
      <c r="K136" s="41"/>
      <c r="L136" s="15"/>
      <c r="O136" s="33"/>
    </row>
    <row r="137" spans="1:15">
      <c r="A137" s="15"/>
      <c r="B137" s="277"/>
      <c r="C137" s="300"/>
      <c r="D137" s="302"/>
      <c r="E137" s="259"/>
      <c r="F137" s="15" t="s">
        <v>128</v>
      </c>
      <c r="G137" s="15" t="s">
        <v>215</v>
      </c>
      <c r="H137" s="15">
        <v>1</v>
      </c>
      <c r="I137" s="41">
        <v>1000000</v>
      </c>
      <c r="J137" s="41">
        <f t="shared" si="13"/>
        <v>1000000</v>
      </c>
      <c r="K137" s="41"/>
      <c r="L137" s="15"/>
      <c r="O137" s="33"/>
    </row>
    <row r="138" spans="1:15">
      <c r="A138" s="15"/>
      <c r="B138" s="277"/>
      <c r="C138" s="300"/>
      <c r="D138" s="302"/>
      <c r="E138" s="259"/>
      <c r="F138" s="15" t="s">
        <v>65</v>
      </c>
      <c r="G138" s="15"/>
      <c r="H138" s="15">
        <v>1</v>
      </c>
      <c r="I138" s="41">
        <v>700000</v>
      </c>
      <c r="J138" s="41">
        <f t="shared" si="13"/>
        <v>700000</v>
      </c>
      <c r="K138" s="41"/>
      <c r="L138" s="15"/>
      <c r="O138" s="33"/>
    </row>
    <row r="139" spans="1:15">
      <c r="A139" s="15"/>
      <c r="B139" s="277"/>
      <c r="C139" s="300"/>
      <c r="D139" s="302"/>
      <c r="E139" s="259"/>
      <c r="F139" s="15" t="s">
        <v>130</v>
      </c>
      <c r="G139" s="61" t="s">
        <v>180</v>
      </c>
      <c r="H139" s="15">
        <v>1</v>
      </c>
      <c r="I139" s="41">
        <v>500000</v>
      </c>
      <c r="J139" s="41">
        <f t="shared" si="13"/>
        <v>500000</v>
      </c>
      <c r="K139" s="41"/>
      <c r="L139" s="15"/>
      <c r="O139" s="33"/>
    </row>
    <row r="140" spans="1:15">
      <c r="A140" s="15"/>
      <c r="B140" s="277"/>
      <c r="C140" s="300"/>
      <c r="D140" s="302"/>
      <c r="E140" s="259"/>
      <c r="F140" s="15" t="s">
        <v>216</v>
      </c>
      <c r="G140" s="15"/>
      <c r="H140" s="15">
        <v>1</v>
      </c>
      <c r="I140" s="41">
        <v>2500000</v>
      </c>
      <c r="J140" s="41">
        <f t="shared" si="13"/>
        <v>2500000</v>
      </c>
      <c r="K140" s="41"/>
      <c r="L140" s="15"/>
      <c r="O140" s="33"/>
    </row>
    <row r="141" spans="1:15" ht="30">
      <c r="A141" s="15"/>
      <c r="B141" s="277"/>
      <c r="C141" s="289"/>
      <c r="D141" s="291"/>
      <c r="E141" s="260"/>
      <c r="F141" s="15" t="s">
        <v>54</v>
      </c>
      <c r="G141" s="15" t="s">
        <v>70</v>
      </c>
      <c r="H141" s="15">
        <v>1</v>
      </c>
      <c r="I141" s="41">
        <v>8000000</v>
      </c>
      <c r="J141" s="41">
        <f t="shared" si="13"/>
        <v>8000000</v>
      </c>
      <c r="K141" s="41"/>
      <c r="L141" s="15"/>
      <c r="O141" s="33"/>
    </row>
    <row r="142" spans="1:15">
      <c r="A142" s="15"/>
      <c r="B142" s="277"/>
      <c r="C142" s="288" t="s">
        <v>157</v>
      </c>
      <c r="D142" s="290" t="s">
        <v>217</v>
      </c>
      <c r="E142" s="261">
        <v>44358</v>
      </c>
      <c r="F142" s="15" t="s">
        <v>94</v>
      </c>
      <c r="G142" s="15"/>
      <c r="H142" s="15">
        <v>1</v>
      </c>
      <c r="I142" s="41">
        <v>2942500</v>
      </c>
      <c r="J142" s="41">
        <f t="shared" si="13"/>
        <v>2942500</v>
      </c>
      <c r="K142" s="41"/>
      <c r="L142" s="15"/>
      <c r="O142" s="33"/>
    </row>
    <row r="143" spans="1:15" ht="45">
      <c r="A143" s="15"/>
      <c r="B143" s="277"/>
      <c r="C143" s="289"/>
      <c r="D143" s="291"/>
      <c r="E143" s="260"/>
      <c r="F143" s="15" t="s">
        <v>96</v>
      </c>
      <c r="G143" s="15" t="s">
        <v>97</v>
      </c>
      <c r="H143" s="15">
        <v>1</v>
      </c>
      <c r="I143" s="41">
        <v>6889850</v>
      </c>
      <c r="J143" s="41">
        <f t="shared" si="13"/>
        <v>6889850</v>
      </c>
      <c r="K143" s="41"/>
      <c r="L143" s="15"/>
      <c r="O143" s="33"/>
    </row>
    <row r="144" spans="1:15">
      <c r="A144" s="15"/>
      <c r="B144" s="277"/>
      <c r="C144" s="253" t="s">
        <v>157</v>
      </c>
      <c r="D144" s="253" t="s">
        <v>217</v>
      </c>
      <c r="E144" s="261">
        <v>44358</v>
      </c>
      <c r="F144" s="253" t="s">
        <v>30</v>
      </c>
      <c r="G144" s="15" t="s">
        <v>32</v>
      </c>
      <c r="H144" s="15">
        <v>1</v>
      </c>
      <c r="I144" s="41">
        <v>4957470</v>
      </c>
      <c r="J144" s="41">
        <f t="shared" si="13"/>
        <v>4957470</v>
      </c>
      <c r="K144" s="41">
        <v>600000</v>
      </c>
      <c r="L144" s="15"/>
      <c r="O144" s="33"/>
    </row>
    <row r="145" spans="1:15">
      <c r="A145" s="15"/>
      <c r="B145" s="277"/>
      <c r="C145" s="266"/>
      <c r="D145" s="266"/>
      <c r="E145" s="260"/>
      <c r="F145" s="266"/>
      <c r="G145" s="15" t="s">
        <v>218</v>
      </c>
      <c r="H145" s="15">
        <v>1</v>
      </c>
      <c r="I145" s="41">
        <v>10000000</v>
      </c>
      <c r="J145" s="41">
        <f t="shared" si="13"/>
        <v>10000000</v>
      </c>
      <c r="K145" s="41"/>
      <c r="L145" s="15"/>
      <c r="O145" s="33"/>
    </row>
    <row r="146" spans="1:15">
      <c r="A146" s="15"/>
      <c r="B146" s="277"/>
      <c r="C146" s="24" t="s">
        <v>219</v>
      </c>
      <c r="D146" s="25" t="s">
        <v>220</v>
      </c>
      <c r="E146" s="55">
        <v>44327</v>
      </c>
      <c r="F146" s="15" t="s">
        <v>20</v>
      </c>
      <c r="G146" s="15" t="s">
        <v>221</v>
      </c>
      <c r="H146" s="15">
        <v>1</v>
      </c>
      <c r="I146" s="41">
        <f>73660000+600000</f>
        <v>74260000</v>
      </c>
      <c r="J146" s="41">
        <f t="shared" si="13"/>
        <v>74260000</v>
      </c>
      <c r="K146" s="41">
        <v>850000</v>
      </c>
      <c r="L146" s="15"/>
      <c r="M146" s="62">
        <v>600000</v>
      </c>
      <c r="O146" s="33"/>
    </row>
    <row r="147" spans="1:15">
      <c r="A147" s="15"/>
      <c r="B147" s="277"/>
      <c r="C147" s="254" t="s">
        <v>157</v>
      </c>
      <c r="D147" s="254" t="s">
        <v>222</v>
      </c>
      <c r="E147" s="261">
        <v>44327</v>
      </c>
      <c r="F147" s="15" t="s">
        <v>42</v>
      </c>
      <c r="G147" s="15"/>
      <c r="H147" s="15">
        <v>4</v>
      </c>
      <c r="I147" s="41">
        <f>8272000/4</f>
        <v>2068000</v>
      </c>
      <c r="J147" s="41">
        <f>I147*H147</f>
        <v>8272000</v>
      </c>
      <c r="K147" s="41"/>
      <c r="L147" s="15"/>
      <c r="O147" s="33"/>
    </row>
    <row r="148" spans="1:15">
      <c r="A148" s="15"/>
      <c r="B148" s="277"/>
      <c r="C148" s="254"/>
      <c r="D148" s="254"/>
      <c r="E148" s="259"/>
      <c r="F148" s="15" t="s">
        <v>151</v>
      </c>
      <c r="G148" s="15"/>
      <c r="H148" s="15">
        <v>1</v>
      </c>
      <c r="I148" s="41">
        <v>4895000</v>
      </c>
      <c r="J148" s="41">
        <f t="shared" ref="J148:J149" si="14">I148*H148</f>
        <v>4895000</v>
      </c>
      <c r="K148" s="41"/>
      <c r="L148" s="15"/>
      <c r="O148" s="33"/>
    </row>
    <row r="149" spans="1:15">
      <c r="A149" s="15"/>
      <c r="B149" s="277"/>
      <c r="C149" s="254"/>
      <c r="D149" s="254"/>
      <c r="E149" s="259"/>
      <c r="F149" s="15" t="s">
        <v>46</v>
      </c>
      <c r="G149" s="15"/>
      <c r="H149" s="15">
        <v>4</v>
      </c>
      <c r="I149" s="41">
        <f>7832000/4</f>
        <v>1958000</v>
      </c>
      <c r="J149" s="41">
        <f t="shared" si="14"/>
        <v>7832000</v>
      </c>
      <c r="K149" s="41"/>
      <c r="L149" s="15"/>
      <c r="O149" s="33"/>
    </row>
    <row r="150" spans="1:15">
      <c r="A150" s="15"/>
      <c r="B150" s="277"/>
      <c r="C150" s="254"/>
      <c r="D150" s="254"/>
      <c r="E150" s="259"/>
      <c r="F150" s="15" t="s">
        <v>44</v>
      </c>
      <c r="G150" s="15" t="s">
        <v>82</v>
      </c>
      <c r="H150" s="15">
        <v>75</v>
      </c>
      <c r="I150" s="41">
        <f>10890000/75</f>
        <v>145200</v>
      </c>
      <c r="J150" s="41">
        <f>I150*H150</f>
        <v>10890000</v>
      </c>
      <c r="K150" s="41"/>
      <c r="L150" s="15"/>
      <c r="M150" s="53">
        <v>90444526</v>
      </c>
      <c r="O150" s="33"/>
    </row>
    <row r="151" spans="1:15">
      <c r="A151" s="15"/>
      <c r="B151" s="277"/>
      <c r="C151" s="254"/>
      <c r="D151" s="254"/>
      <c r="E151" s="259"/>
      <c r="F151" s="15" t="s">
        <v>153</v>
      </c>
      <c r="G151" s="15" t="s">
        <v>195</v>
      </c>
      <c r="H151" s="15">
        <v>1</v>
      </c>
      <c r="I151" s="41">
        <v>4895000</v>
      </c>
      <c r="J151" s="41">
        <f>I151*H151</f>
        <v>4895000</v>
      </c>
      <c r="K151" s="41"/>
      <c r="L151" s="15"/>
      <c r="O151" s="33"/>
    </row>
    <row r="152" spans="1:15">
      <c r="A152" s="15"/>
      <c r="B152" s="277"/>
      <c r="C152" s="254"/>
      <c r="D152" s="254"/>
      <c r="E152" s="259"/>
      <c r="F152" s="257" t="s">
        <v>87</v>
      </c>
      <c r="G152" s="12" t="s">
        <v>88</v>
      </c>
      <c r="H152" s="12">
        <v>1</v>
      </c>
      <c r="I152" s="31">
        <v>3410000</v>
      </c>
      <c r="J152" s="31">
        <f>I152*H152</f>
        <v>3410000</v>
      </c>
      <c r="K152" s="41">
        <v>850000</v>
      </c>
      <c r="L152" s="15"/>
      <c r="O152" s="33"/>
    </row>
    <row r="153" spans="1:15">
      <c r="A153" s="15"/>
      <c r="B153" s="277"/>
      <c r="C153" s="266"/>
      <c r="D153" s="266"/>
      <c r="E153" s="260"/>
      <c r="F153" s="257"/>
      <c r="G153" s="12" t="s">
        <v>89</v>
      </c>
      <c r="H153" s="12">
        <v>1</v>
      </c>
      <c r="I153" s="31">
        <v>3410000</v>
      </c>
      <c r="J153" s="31">
        <f t="shared" ref="J153" si="15">I153*H153</f>
        <v>3410000</v>
      </c>
      <c r="K153" s="41"/>
      <c r="L153" s="15"/>
      <c r="O153" s="33"/>
    </row>
    <row r="154" spans="1:15">
      <c r="A154" s="15"/>
      <c r="B154" s="277"/>
      <c r="C154" s="12" t="s">
        <v>104</v>
      </c>
      <c r="D154" s="74"/>
      <c r="E154" s="12"/>
      <c r="F154" s="12" t="s">
        <v>105</v>
      </c>
      <c r="G154" s="12" t="s">
        <v>106</v>
      </c>
      <c r="H154" s="12">
        <v>1</v>
      </c>
      <c r="I154" s="31">
        <v>3500000</v>
      </c>
      <c r="J154" s="31">
        <f t="shared" ref="J154:J155" si="16">I154</f>
        <v>3500000</v>
      </c>
      <c r="K154" s="41"/>
      <c r="L154" s="15"/>
      <c r="O154" s="33"/>
    </row>
    <row r="155" spans="1:15" ht="30">
      <c r="A155" s="15"/>
      <c r="B155" s="277"/>
      <c r="C155" s="12" t="s">
        <v>109</v>
      </c>
      <c r="D155" s="74"/>
      <c r="E155" s="12"/>
      <c r="F155" s="12" t="s">
        <v>107</v>
      </c>
      <c r="G155" s="12"/>
      <c r="H155" s="12">
        <v>1</v>
      </c>
      <c r="I155" s="31">
        <v>995000</v>
      </c>
      <c r="J155" s="31">
        <f t="shared" si="16"/>
        <v>995000</v>
      </c>
      <c r="K155" s="41"/>
      <c r="L155" s="15"/>
      <c r="O155" s="33"/>
    </row>
    <row r="156" spans="1:15">
      <c r="A156" s="15"/>
      <c r="B156" s="277"/>
      <c r="C156" s="12" t="s">
        <v>110</v>
      </c>
      <c r="D156" s="74"/>
      <c r="E156" s="12"/>
      <c r="F156" s="12" t="s">
        <v>108</v>
      </c>
      <c r="G156" s="12"/>
      <c r="H156" s="12">
        <v>2</v>
      </c>
      <c r="I156" s="31">
        <v>600000</v>
      </c>
      <c r="J156" s="31">
        <f>I156*H156</f>
        <v>1200000</v>
      </c>
      <c r="K156" s="41"/>
      <c r="L156" s="15"/>
      <c r="O156" s="33"/>
    </row>
    <row r="157" spans="1:15">
      <c r="A157" s="15"/>
      <c r="B157" s="277"/>
      <c r="C157" s="15"/>
      <c r="D157" s="78"/>
      <c r="E157" s="15"/>
      <c r="F157" s="15" t="s">
        <v>111</v>
      </c>
      <c r="G157" s="15"/>
      <c r="H157" s="15">
        <v>1</v>
      </c>
      <c r="I157" s="41">
        <v>5000000</v>
      </c>
      <c r="J157" s="41">
        <f t="shared" ref="J157:J163" si="17">I157</f>
        <v>5000000</v>
      </c>
      <c r="K157" s="41"/>
      <c r="L157" s="15"/>
      <c r="O157" s="33"/>
    </row>
    <row r="158" spans="1:15" ht="30">
      <c r="A158" s="15"/>
      <c r="B158" s="277"/>
      <c r="C158" s="253" t="s">
        <v>200</v>
      </c>
      <c r="D158" s="78"/>
      <c r="E158" s="15"/>
      <c r="F158" s="15" t="s">
        <v>223</v>
      </c>
      <c r="G158" s="15"/>
      <c r="H158" s="15">
        <v>1</v>
      </c>
      <c r="I158" s="41">
        <v>25000000</v>
      </c>
      <c r="J158" s="41">
        <f t="shared" si="17"/>
        <v>25000000</v>
      </c>
      <c r="K158" s="41">
        <v>6000000</v>
      </c>
      <c r="L158" s="15"/>
      <c r="O158" s="33"/>
    </row>
    <row r="159" spans="1:15">
      <c r="A159" s="15"/>
      <c r="B159" s="277"/>
      <c r="C159" s="266"/>
      <c r="D159" s="78"/>
      <c r="E159" s="15"/>
      <c r="F159" s="15" t="s">
        <v>224</v>
      </c>
      <c r="G159" s="15"/>
      <c r="H159" s="15">
        <v>1</v>
      </c>
      <c r="I159" s="41">
        <v>59444526</v>
      </c>
      <c r="J159" s="41">
        <f t="shared" si="17"/>
        <v>59444526</v>
      </c>
      <c r="K159" s="41"/>
      <c r="L159" s="15"/>
      <c r="O159" s="33"/>
    </row>
    <row r="160" spans="1:15">
      <c r="A160" s="15"/>
      <c r="B160" s="277"/>
      <c r="C160" s="253" t="s">
        <v>200</v>
      </c>
      <c r="D160" s="78"/>
      <c r="E160" s="15"/>
      <c r="F160" s="15" t="s">
        <v>225</v>
      </c>
      <c r="G160" s="15"/>
      <c r="H160" s="15">
        <v>1</v>
      </c>
      <c r="I160" s="41">
        <v>45000000</v>
      </c>
      <c r="J160" s="41">
        <f t="shared" si="17"/>
        <v>45000000</v>
      </c>
      <c r="K160" s="41">
        <v>5400000</v>
      </c>
      <c r="L160" s="15"/>
      <c r="N160" s="33">
        <f>K160+J160</f>
        <v>50400000</v>
      </c>
      <c r="O160" s="33"/>
    </row>
    <row r="161" spans="1:15">
      <c r="A161" s="15"/>
      <c r="B161" s="277"/>
      <c r="C161" s="254"/>
      <c r="D161" s="78"/>
      <c r="E161" s="15"/>
      <c r="F161" s="15" t="s">
        <v>226</v>
      </c>
      <c r="G161" s="15"/>
      <c r="H161" s="15">
        <v>1</v>
      </c>
      <c r="I161" s="41">
        <v>45000000</v>
      </c>
      <c r="J161" s="41">
        <f t="shared" si="17"/>
        <v>45000000</v>
      </c>
      <c r="K161" s="41"/>
      <c r="L161" s="15"/>
      <c r="N161" s="57">
        <v>328153346</v>
      </c>
      <c r="O161" s="33"/>
    </row>
    <row r="162" spans="1:15">
      <c r="A162" s="15"/>
      <c r="B162" s="277"/>
      <c r="C162" s="254"/>
      <c r="D162" s="78"/>
      <c r="E162" s="15"/>
      <c r="F162" s="15" t="s">
        <v>228</v>
      </c>
      <c r="G162" s="15"/>
      <c r="H162" s="15">
        <v>1</v>
      </c>
      <c r="I162" s="41">
        <v>105431657</v>
      </c>
      <c r="J162" s="41">
        <f t="shared" si="17"/>
        <v>105431657</v>
      </c>
      <c r="K162" s="41">
        <v>5400000</v>
      </c>
      <c r="L162" s="15"/>
      <c r="N162" s="33">
        <f>N161-30000000-N160</f>
        <v>247753346</v>
      </c>
      <c r="O162" s="33"/>
    </row>
    <row r="163" spans="1:15">
      <c r="A163" s="23"/>
      <c r="B163" s="278"/>
      <c r="C163" s="255"/>
      <c r="D163" s="77"/>
      <c r="E163" s="23"/>
      <c r="F163" s="23" t="s">
        <v>227</v>
      </c>
      <c r="G163" s="23"/>
      <c r="H163" s="23">
        <v>1</v>
      </c>
      <c r="I163" s="63">
        <v>104000000</v>
      </c>
      <c r="J163" s="63">
        <f t="shared" si="17"/>
        <v>104000000</v>
      </c>
      <c r="K163" s="63"/>
      <c r="L163" s="23"/>
      <c r="O163" s="33"/>
    </row>
    <row r="164" spans="1:15" s="40" customFormat="1">
      <c r="A164" s="14"/>
      <c r="B164" s="14"/>
      <c r="C164" s="14"/>
      <c r="D164" s="8"/>
      <c r="E164" s="14"/>
      <c r="F164" s="14"/>
      <c r="G164" s="14"/>
      <c r="H164" s="14"/>
      <c r="I164" s="37"/>
      <c r="J164" s="38">
        <f>SUM(J131:J163)</f>
        <v>588385003</v>
      </c>
      <c r="K164" s="38">
        <f>SUM(K131:K163)</f>
        <v>20000000</v>
      </c>
      <c r="L164" s="39">
        <f>K164+J164</f>
        <v>608385003</v>
      </c>
      <c r="M164" s="46" t="e">
        <f>L164-'BM FIX'!#REF!</f>
        <v>#REF!</v>
      </c>
      <c r="O164" s="46"/>
    </row>
    <row r="165" spans="1:15">
      <c r="A165" s="15"/>
      <c r="B165" s="250" t="s">
        <v>229</v>
      </c>
      <c r="C165" s="305" t="s">
        <v>230</v>
      </c>
      <c r="D165" s="303" t="s">
        <v>231</v>
      </c>
      <c r="E165" s="258">
        <v>44525</v>
      </c>
      <c r="F165" s="15" t="s">
        <v>73</v>
      </c>
      <c r="G165" s="15" t="s">
        <v>232</v>
      </c>
      <c r="H165" s="15">
        <v>1</v>
      </c>
      <c r="I165" s="41">
        <v>11600000</v>
      </c>
      <c r="J165" s="41">
        <f>I165*H165</f>
        <v>11600000</v>
      </c>
      <c r="K165" s="41">
        <v>900000</v>
      </c>
      <c r="L165" s="15"/>
      <c r="O165" s="33"/>
    </row>
    <row r="166" spans="1:15">
      <c r="A166" s="15"/>
      <c r="B166" s="251"/>
      <c r="C166" s="306"/>
      <c r="D166" s="304"/>
      <c r="E166" s="259"/>
      <c r="F166" s="253" t="s">
        <v>33</v>
      </c>
      <c r="G166" s="15" t="s">
        <v>233</v>
      </c>
      <c r="H166" s="15">
        <v>1</v>
      </c>
      <c r="I166" s="41">
        <v>8700000</v>
      </c>
      <c r="J166" s="41">
        <f>I166*H166</f>
        <v>8700000</v>
      </c>
      <c r="K166" s="41"/>
      <c r="L166" s="15"/>
      <c r="O166" s="33"/>
    </row>
    <row r="167" spans="1:15">
      <c r="A167" s="15"/>
      <c r="B167" s="251"/>
      <c r="C167" s="306"/>
      <c r="D167" s="304"/>
      <c r="E167" s="259"/>
      <c r="F167" s="266"/>
      <c r="G167" s="15" t="s">
        <v>234</v>
      </c>
      <c r="H167" s="15">
        <v>1</v>
      </c>
      <c r="I167" s="41">
        <v>8900000</v>
      </c>
      <c r="J167" s="41">
        <f t="shared" ref="J167:J182" si="18">I167*H167</f>
        <v>8900000</v>
      </c>
      <c r="K167" s="41"/>
      <c r="L167" s="15"/>
      <c r="O167" s="33"/>
    </row>
    <row r="168" spans="1:15">
      <c r="A168" s="15"/>
      <c r="B168" s="251"/>
      <c r="C168" s="306"/>
      <c r="D168" s="304"/>
      <c r="E168" s="259"/>
      <c r="F168" s="15" t="s">
        <v>37</v>
      </c>
      <c r="G168" s="15" t="s">
        <v>235</v>
      </c>
      <c r="H168" s="15">
        <v>2</v>
      </c>
      <c r="I168" s="41">
        <v>2630000</v>
      </c>
      <c r="J168" s="41">
        <f t="shared" si="18"/>
        <v>5260000</v>
      </c>
      <c r="K168" s="41"/>
      <c r="L168" s="15"/>
      <c r="O168" s="33"/>
    </row>
    <row r="169" spans="1:15">
      <c r="A169" s="15"/>
      <c r="B169" s="251"/>
      <c r="C169" s="306"/>
      <c r="D169" s="304"/>
      <c r="E169" s="260"/>
      <c r="F169" s="15" t="s">
        <v>35</v>
      </c>
      <c r="G169" s="15" t="s">
        <v>139</v>
      </c>
      <c r="H169" s="15">
        <v>1</v>
      </c>
      <c r="I169" s="41">
        <v>6950000</v>
      </c>
      <c r="J169" s="41">
        <f t="shared" si="18"/>
        <v>6950000</v>
      </c>
      <c r="K169" s="41"/>
      <c r="L169" s="15"/>
      <c r="O169" s="33"/>
    </row>
    <row r="170" spans="1:15">
      <c r="A170" s="15"/>
      <c r="B170" s="251"/>
      <c r="C170" s="306" t="s">
        <v>60</v>
      </c>
      <c r="D170" s="304" t="s">
        <v>236</v>
      </c>
      <c r="E170" s="261">
        <v>44478</v>
      </c>
      <c r="F170" s="15" t="s">
        <v>237</v>
      </c>
      <c r="G170" s="15" t="s">
        <v>238</v>
      </c>
      <c r="H170" s="15">
        <v>4</v>
      </c>
      <c r="I170" s="41">
        <v>125000</v>
      </c>
      <c r="J170" s="41">
        <f t="shared" si="18"/>
        <v>500000</v>
      </c>
      <c r="K170" s="41"/>
      <c r="L170" s="15"/>
      <c r="O170" s="33"/>
    </row>
    <row r="171" spans="1:15">
      <c r="A171" s="15"/>
      <c r="B171" s="251"/>
      <c r="C171" s="306"/>
      <c r="D171" s="304"/>
      <c r="E171" s="259"/>
      <c r="F171" s="15" t="s">
        <v>239</v>
      </c>
      <c r="G171" s="15"/>
      <c r="H171" s="15">
        <v>1</v>
      </c>
      <c r="I171" s="41">
        <v>4500000</v>
      </c>
      <c r="J171" s="41">
        <f t="shared" si="18"/>
        <v>4500000</v>
      </c>
      <c r="K171" s="41"/>
      <c r="L171" s="15"/>
      <c r="O171" s="33"/>
    </row>
    <row r="172" spans="1:15">
      <c r="A172" s="15"/>
      <c r="B172" s="251"/>
      <c r="C172" s="306"/>
      <c r="D172" s="304"/>
      <c r="E172" s="259"/>
      <c r="F172" s="15" t="s">
        <v>128</v>
      </c>
      <c r="G172" s="15" t="s">
        <v>215</v>
      </c>
      <c r="H172" s="15">
        <v>1</v>
      </c>
      <c r="I172" s="41">
        <v>1200000</v>
      </c>
      <c r="J172" s="41">
        <f t="shared" si="18"/>
        <v>1200000</v>
      </c>
      <c r="K172" s="41"/>
      <c r="L172" s="15"/>
      <c r="O172" s="33"/>
    </row>
    <row r="173" spans="1:15">
      <c r="A173" s="15"/>
      <c r="B173" s="251"/>
      <c r="C173" s="306"/>
      <c r="D173" s="304"/>
      <c r="E173" s="259"/>
      <c r="F173" s="15" t="s">
        <v>144</v>
      </c>
      <c r="G173" s="15" t="s">
        <v>240</v>
      </c>
      <c r="H173" s="15">
        <v>1</v>
      </c>
      <c r="I173" s="41">
        <v>800000</v>
      </c>
      <c r="J173" s="41">
        <f t="shared" si="18"/>
        <v>800000</v>
      </c>
      <c r="K173" s="41"/>
      <c r="L173" s="15"/>
      <c r="O173" s="33"/>
    </row>
    <row r="174" spans="1:15">
      <c r="A174" s="15"/>
      <c r="B174" s="251"/>
      <c r="C174" s="306"/>
      <c r="D174" s="304"/>
      <c r="E174" s="259"/>
      <c r="F174" s="15" t="s">
        <v>145</v>
      </c>
      <c r="G174" s="15" t="s">
        <v>241</v>
      </c>
      <c r="H174" s="15">
        <v>1</v>
      </c>
      <c r="I174" s="41">
        <v>4000000</v>
      </c>
      <c r="J174" s="41">
        <f t="shared" si="18"/>
        <v>4000000</v>
      </c>
      <c r="K174" s="41"/>
      <c r="L174" s="15"/>
      <c r="O174" s="33"/>
    </row>
    <row r="175" spans="1:15">
      <c r="A175" s="15"/>
      <c r="B175" s="251"/>
      <c r="C175" s="306"/>
      <c r="D175" s="304"/>
      <c r="E175" s="260"/>
      <c r="F175" s="15" t="s">
        <v>146</v>
      </c>
      <c r="G175" s="15" t="s">
        <v>242</v>
      </c>
      <c r="H175" s="15">
        <v>1</v>
      </c>
      <c r="I175" s="41">
        <v>3000000</v>
      </c>
      <c r="J175" s="41">
        <f t="shared" si="18"/>
        <v>3000000</v>
      </c>
      <c r="K175" s="41"/>
      <c r="L175" s="15"/>
      <c r="O175" s="33"/>
    </row>
    <row r="176" spans="1:15">
      <c r="A176" s="15"/>
      <c r="B176" s="251"/>
      <c r="C176" s="257" t="s">
        <v>60</v>
      </c>
      <c r="D176" s="257" t="s">
        <v>243</v>
      </c>
      <c r="E176" s="261">
        <v>44478</v>
      </c>
      <c r="F176" s="15" t="s">
        <v>213</v>
      </c>
      <c r="G176" s="15" t="s">
        <v>244</v>
      </c>
      <c r="H176" s="15">
        <v>1</v>
      </c>
      <c r="I176" s="41">
        <v>6000000</v>
      </c>
      <c r="J176" s="41">
        <f t="shared" si="18"/>
        <v>6000000</v>
      </c>
      <c r="K176" s="41"/>
      <c r="L176" s="15"/>
      <c r="O176" s="33"/>
    </row>
    <row r="177" spans="1:15">
      <c r="A177" s="15"/>
      <c r="B177" s="251"/>
      <c r="C177" s="257"/>
      <c r="D177" s="257"/>
      <c r="E177" s="259"/>
      <c r="F177" s="15" t="s">
        <v>159</v>
      </c>
      <c r="G177" s="15" t="s">
        <v>245</v>
      </c>
      <c r="H177" s="15">
        <v>1</v>
      </c>
      <c r="I177" s="41">
        <v>7300000</v>
      </c>
      <c r="J177" s="41">
        <f t="shared" si="18"/>
        <v>7300000</v>
      </c>
      <c r="K177" s="41"/>
      <c r="L177" s="15"/>
      <c r="O177" s="33"/>
    </row>
    <row r="178" spans="1:15">
      <c r="A178" s="15"/>
      <c r="B178" s="251"/>
      <c r="C178" s="257"/>
      <c r="D178" s="257"/>
      <c r="E178" s="259"/>
      <c r="F178" s="15" t="s">
        <v>62</v>
      </c>
      <c r="G178" s="15" t="s">
        <v>127</v>
      </c>
      <c r="H178" s="15">
        <v>1</v>
      </c>
      <c r="I178" s="41">
        <v>300000</v>
      </c>
      <c r="J178" s="41">
        <f t="shared" si="18"/>
        <v>300000</v>
      </c>
      <c r="K178" s="41"/>
      <c r="L178" s="15"/>
      <c r="O178" s="33"/>
    </row>
    <row r="179" spans="1:15">
      <c r="A179" s="15"/>
      <c r="B179" s="251"/>
      <c r="C179" s="257"/>
      <c r="D179" s="257"/>
      <c r="E179" s="259"/>
      <c r="F179" s="15" t="s">
        <v>246</v>
      </c>
      <c r="G179" s="15" t="s">
        <v>247</v>
      </c>
      <c r="H179" s="15">
        <v>1</v>
      </c>
      <c r="I179" s="41">
        <v>200000</v>
      </c>
      <c r="J179" s="41">
        <f t="shared" si="18"/>
        <v>200000</v>
      </c>
      <c r="K179" s="41"/>
      <c r="L179" s="15"/>
      <c r="M179" s="2">
        <v>122042400</v>
      </c>
      <c r="O179" s="33"/>
    </row>
    <row r="180" spans="1:15">
      <c r="A180" s="12"/>
      <c r="B180" s="251"/>
      <c r="C180" s="257"/>
      <c r="D180" s="257"/>
      <c r="E180" s="259"/>
      <c r="F180" s="12" t="s">
        <v>130</v>
      </c>
      <c r="G180" s="12"/>
      <c r="H180" s="12">
        <v>1</v>
      </c>
      <c r="I180" s="31">
        <v>1500000</v>
      </c>
      <c r="J180" s="31">
        <f t="shared" si="18"/>
        <v>1500000</v>
      </c>
      <c r="K180" s="31"/>
      <c r="L180" s="12"/>
    </row>
    <row r="181" spans="1:15" ht="30">
      <c r="A181" s="12"/>
      <c r="B181" s="251"/>
      <c r="C181" s="257"/>
      <c r="D181" s="257"/>
      <c r="E181" s="260"/>
      <c r="F181" s="12" t="s">
        <v>54</v>
      </c>
      <c r="G181" s="12" t="s">
        <v>70</v>
      </c>
      <c r="H181" s="12">
        <v>1</v>
      </c>
      <c r="I181" s="31">
        <v>8000000</v>
      </c>
      <c r="J181" s="31">
        <f t="shared" si="18"/>
        <v>8000000</v>
      </c>
      <c r="K181" s="31"/>
      <c r="L181" s="12"/>
    </row>
    <row r="182" spans="1:15">
      <c r="A182" s="12"/>
      <c r="B182" s="251"/>
      <c r="C182" s="56" t="s">
        <v>248</v>
      </c>
      <c r="D182" s="88" t="s">
        <v>249</v>
      </c>
      <c r="E182" s="42">
        <v>44371</v>
      </c>
      <c r="F182" s="12" t="s">
        <v>20</v>
      </c>
      <c r="G182" s="12" t="s">
        <v>250</v>
      </c>
      <c r="H182" s="12">
        <v>1</v>
      </c>
      <c r="I182" s="31">
        <v>8030000</v>
      </c>
      <c r="J182" s="31">
        <f t="shared" si="18"/>
        <v>8030000</v>
      </c>
      <c r="K182" s="31">
        <v>600000</v>
      </c>
      <c r="L182" s="12"/>
    </row>
    <row r="183" spans="1:15">
      <c r="A183" s="12"/>
      <c r="B183" s="251"/>
      <c r="C183" s="306" t="s">
        <v>157</v>
      </c>
      <c r="D183" s="304" t="s">
        <v>251</v>
      </c>
      <c r="E183" s="261">
        <v>44327</v>
      </c>
      <c r="F183" s="12" t="s">
        <v>42</v>
      </c>
      <c r="G183" s="12"/>
      <c r="H183" s="12">
        <v>4</v>
      </c>
      <c r="I183" s="31">
        <f>7832000/4</f>
        <v>1958000</v>
      </c>
      <c r="J183" s="31">
        <f>I183*H183</f>
        <v>7832000</v>
      </c>
      <c r="K183" s="31"/>
      <c r="L183" s="12"/>
    </row>
    <row r="184" spans="1:15">
      <c r="A184" s="12"/>
      <c r="B184" s="251"/>
      <c r="C184" s="306"/>
      <c r="D184" s="304"/>
      <c r="E184" s="259"/>
      <c r="F184" s="12" t="s">
        <v>151</v>
      </c>
      <c r="G184" s="12"/>
      <c r="H184" s="12">
        <v>1</v>
      </c>
      <c r="I184" s="31">
        <v>4840000</v>
      </c>
      <c r="J184" s="31">
        <f>I184*H184</f>
        <v>4840000</v>
      </c>
      <c r="K184" s="31"/>
      <c r="L184" s="12"/>
    </row>
    <row r="185" spans="1:15">
      <c r="A185" s="12"/>
      <c r="B185" s="251"/>
      <c r="C185" s="306"/>
      <c r="D185" s="304"/>
      <c r="E185" s="259"/>
      <c r="F185" s="12" t="s">
        <v>46</v>
      </c>
      <c r="G185" s="12"/>
      <c r="H185" s="12">
        <v>4</v>
      </c>
      <c r="I185" s="31">
        <f>8866000/4</f>
        <v>2216500</v>
      </c>
      <c r="J185" s="31">
        <f>I185*H185</f>
        <v>8866000</v>
      </c>
      <c r="K185" s="31"/>
      <c r="L185" s="12"/>
    </row>
    <row r="186" spans="1:15">
      <c r="A186" s="12"/>
      <c r="B186" s="251"/>
      <c r="C186" s="306"/>
      <c r="D186" s="304"/>
      <c r="E186" s="259"/>
      <c r="F186" s="12" t="s">
        <v>152</v>
      </c>
      <c r="G186" s="12" t="s">
        <v>82</v>
      </c>
      <c r="H186" s="12">
        <v>50</v>
      </c>
      <c r="I186" s="31">
        <f>9817500/50</f>
        <v>196350</v>
      </c>
      <c r="J186" s="31">
        <f>I186*H186</f>
        <v>9817500</v>
      </c>
      <c r="K186" s="31"/>
      <c r="L186" s="12"/>
    </row>
    <row r="187" spans="1:15">
      <c r="A187" s="12"/>
      <c r="B187" s="251"/>
      <c r="C187" s="306"/>
      <c r="D187" s="304"/>
      <c r="E187" s="259"/>
      <c r="F187" s="12" t="s">
        <v>153</v>
      </c>
      <c r="G187" s="12" t="s">
        <v>195</v>
      </c>
      <c r="H187" s="12">
        <v>1</v>
      </c>
      <c r="I187" s="31">
        <v>4946500</v>
      </c>
      <c r="J187" s="31">
        <f>I187</f>
        <v>4946500</v>
      </c>
      <c r="K187" s="31"/>
      <c r="L187" s="12"/>
    </row>
    <row r="188" spans="1:15">
      <c r="A188" s="12"/>
      <c r="B188" s="251"/>
      <c r="C188" s="306"/>
      <c r="D188" s="304"/>
      <c r="E188" s="259"/>
      <c r="F188" s="12" t="s">
        <v>85</v>
      </c>
      <c r="G188" s="12" t="s">
        <v>86</v>
      </c>
      <c r="H188" s="12">
        <v>1</v>
      </c>
      <c r="I188" s="31">
        <v>3100000</v>
      </c>
      <c r="J188" s="31">
        <f>I188</f>
        <v>3100000</v>
      </c>
      <c r="K188" s="31"/>
      <c r="L188" s="12"/>
    </row>
    <row r="189" spans="1:15">
      <c r="A189" s="12"/>
      <c r="B189" s="251"/>
      <c r="C189" s="306"/>
      <c r="D189" s="304"/>
      <c r="E189" s="259"/>
      <c r="F189" s="257" t="s">
        <v>87</v>
      </c>
      <c r="G189" s="12" t="s">
        <v>88</v>
      </c>
      <c r="H189" s="12">
        <v>2</v>
      </c>
      <c r="I189" s="31">
        <v>3300000</v>
      </c>
      <c r="J189" s="31">
        <f>I189*H189</f>
        <v>6600000</v>
      </c>
      <c r="K189" s="31">
        <v>900000</v>
      </c>
      <c r="L189" s="12"/>
    </row>
    <row r="190" spans="1:15">
      <c r="A190" s="12"/>
      <c r="B190" s="251"/>
      <c r="C190" s="306"/>
      <c r="D190" s="304"/>
      <c r="E190" s="259"/>
      <c r="F190" s="257"/>
      <c r="G190" s="12" t="s">
        <v>89</v>
      </c>
      <c r="H190" s="12">
        <v>2</v>
      </c>
      <c r="I190" s="31">
        <v>3300000</v>
      </c>
      <c r="J190" s="31">
        <f t="shared" ref="J190:J191" si="19">I190*H190</f>
        <v>6600000</v>
      </c>
      <c r="K190" s="31"/>
      <c r="L190" s="12"/>
    </row>
    <row r="191" spans="1:15">
      <c r="A191" s="12"/>
      <c r="B191" s="251"/>
      <c r="C191" s="306"/>
      <c r="D191" s="304"/>
      <c r="E191" s="260"/>
      <c r="F191" s="12" t="s">
        <v>90</v>
      </c>
      <c r="G191" s="12" t="s">
        <v>91</v>
      </c>
      <c r="H191" s="12">
        <v>2</v>
      </c>
      <c r="I191" s="31">
        <v>2403500</v>
      </c>
      <c r="J191" s="31">
        <f t="shared" si="19"/>
        <v>4807000</v>
      </c>
      <c r="K191" s="31"/>
      <c r="L191" s="12"/>
    </row>
    <row r="192" spans="1:15">
      <c r="A192" s="12"/>
      <c r="B192" s="251"/>
      <c r="C192" s="306" t="s">
        <v>252</v>
      </c>
      <c r="D192" s="304" t="s">
        <v>253</v>
      </c>
      <c r="E192" s="261">
        <v>44327</v>
      </c>
      <c r="F192" s="12" t="s">
        <v>94</v>
      </c>
      <c r="G192" s="12"/>
      <c r="H192" s="12">
        <v>1</v>
      </c>
      <c r="I192" s="31">
        <v>3883000</v>
      </c>
      <c r="J192" s="31">
        <f>I192</f>
        <v>3883000</v>
      </c>
      <c r="K192" s="31"/>
      <c r="L192" s="12"/>
    </row>
    <row r="193" spans="1:14" ht="45">
      <c r="A193" s="12"/>
      <c r="B193" s="251"/>
      <c r="C193" s="306"/>
      <c r="D193" s="304"/>
      <c r="E193" s="260"/>
      <c r="F193" s="12" t="s">
        <v>96</v>
      </c>
      <c r="G193" s="12" t="s">
        <v>97</v>
      </c>
      <c r="H193" s="12">
        <v>1</v>
      </c>
      <c r="I193" s="31">
        <v>6889850</v>
      </c>
      <c r="J193" s="31">
        <f>I193</f>
        <v>6889850</v>
      </c>
      <c r="K193" s="31"/>
      <c r="L193" s="12"/>
    </row>
    <row r="194" spans="1:14">
      <c r="A194" s="12"/>
      <c r="B194" s="251"/>
      <c r="C194" s="56" t="s">
        <v>252</v>
      </c>
      <c r="D194" s="88" t="s">
        <v>254</v>
      </c>
      <c r="E194" s="42">
        <v>44327</v>
      </c>
      <c r="F194" s="12" t="s">
        <v>30</v>
      </c>
      <c r="G194" s="12" t="s">
        <v>100</v>
      </c>
      <c r="H194" s="12">
        <v>1</v>
      </c>
      <c r="I194" s="31">
        <v>4972000</v>
      </c>
      <c r="J194" s="31">
        <f>I194</f>
        <v>4972000</v>
      </c>
      <c r="K194" s="31">
        <v>600000</v>
      </c>
      <c r="L194" s="12"/>
    </row>
    <row r="195" spans="1:14">
      <c r="A195" s="12"/>
      <c r="B195" s="251"/>
      <c r="C195" s="12" t="s">
        <v>104</v>
      </c>
      <c r="D195" s="74"/>
      <c r="E195" s="12"/>
      <c r="F195" s="12" t="s">
        <v>105</v>
      </c>
      <c r="G195" s="12" t="s">
        <v>106</v>
      </c>
      <c r="H195" s="12">
        <v>1</v>
      </c>
      <c r="I195" s="31">
        <v>3500000</v>
      </c>
      <c r="J195" s="31">
        <f t="shared" ref="J195:J196" si="20">I195</f>
        <v>3500000</v>
      </c>
      <c r="K195" s="31"/>
      <c r="L195" s="12"/>
    </row>
    <row r="196" spans="1:14" ht="30">
      <c r="A196" s="12"/>
      <c r="B196" s="251"/>
      <c r="C196" s="12" t="s">
        <v>109</v>
      </c>
      <c r="D196" s="74"/>
      <c r="E196" s="12"/>
      <c r="F196" s="12" t="s">
        <v>107</v>
      </c>
      <c r="G196" s="12"/>
      <c r="H196" s="12">
        <v>1</v>
      </c>
      <c r="I196" s="31">
        <v>995000</v>
      </c>
      <c r="J196" s="31">
        <f t="shared" si="20"/>
        <v>995000</v>
      </c>
      <c r="K196" s="31"/>
      <c r="L196" s="12"/>
    </row>
    <row r="197" spans="1:14">
      <c r="A197" s="12"/>
      <c r="B197" s="251"/>
      <c r="C197" s="12" t="s">
        <v>110</v>
      </c>
      <c r="D197" s="74"/>
      <c r="E197" s="12"/>
      <c r="F197" s="12" t="s">
        <v>108</v>
      </c>
      <c r="G197" s="12"/>
      <c r="H197" s="12">
        <v>2</v>
      </c>
      <c r="I197" s="31">
        <v>600000</v>
      </c>
      <c r="J197" s="31">
        <f>I197*H197</f>
        <v>1200000</v>
      </c>
      <c r="K197" s="31"/>
      <c r="L197" s="12"/>
    </row>
    <row r="198" spans="1:14">
      <c r="A198" s="12"/>
      <c r="B198" s="251"/>
      <c r="C198" s="56"/>
      <c r="D198" s="74"/>
      <c r="E198" s="12"/>
      <c r="F198" s="12" t="s">
        <v>20</v>
      </c>
      <c r="G198" s="12" t="s">
        <v>255</v>
      </c>
      <c r="H198" s="12">
        <v>1</v>
      </c>
      <c r="I198" s="31">
        <v>5000000</v>
      </c>
      <c r="J198" s="31">
        <f>I198*H198</f>
        <v>5000000</v>
      </c>
      <c r="K198" s="31"/>
      <c r="L198" s="12"/>
    </row>
    <row r="199" spans="1:14">
      <c r="A199" s="12"/>
      <c r="B199" s="251"/>
      <c r="C199" s="224" t="s">
        <v>200</v>
      </c>
      <c r="D199" s="268"/>
      <c r="E199" s="253"/>
      <c r="F199" s="12" t="s">
        <v>256</v>
      </c>
      <c r="G199" s="12"/>
      <c r="H199" s="12">
        <v>1</v>
      </c>
      <c r="I199" s="31">
        <v>116642400</v>
      </c>
      <c r="J199" s="31">
        <f>I199</f>
        <v>116642400</v>
      </c>
      <c r="K199" s="31">
        <f>122042400-116642400</f>
        <v>5400000</v>
      </c>
      <c r="L199" s="12"/>
    </row>
    <row r="200" spans="1:14">
      <c r="A200" s="12"/>
      <c r="B200" s="251"/>
      <c r="C200" s="224"/>
      <c r="D200" s="268"/>
      <c r="E200" s="254"/>
      <c r="F200" s="12" t="s">
        <v>257</v>
      </c>
      <c r="G200" s="12"/>
      <c r="H200" s="12">
        <v>1</v>
      </c>
      <c r="I200" s="31">
        <v>105678357</v>
      </c>
      <c r="J200" s="31">
        <f>I200</f>
        <v>105678357</v>
      </c>
      <c r="K200" s="31">
        <f>108728357-J200</f>
        <v>3050000</v>
      </c>
      <c r="L200" s="12"/>
      <c r="M200" s="33"/>
    </row>
    <row r="201" spans="1:14">
      <c r="A201" s="12"/>
      <c r="B201" s="251"/>
      <c r="C201" s="224"/>
      <c r="D201" s="268"/>
      <c r="E201" s="254"/>
      <c r="F201" s="12" t="s">
        <v>258</v>
      </c>
      <c r="G201" s="12"/>
      <c r="H201" s="12">
        <v>1</v>
      </c>
      <c r="I201" s="31">
        <v>38060000</v>
      </c>
      <c r="J201" s="31">
        <f t="shared" ref="J201:J204" si="21">I201</f>
        <v>38060000</v>
      </c>
      <c r="K201" s="31">
        <f>41060000-J201</f>
        <v>3000000</v>
      </c>
      <c r="L201" s="12"/>
      <c r="M201" s="57"/>
    </row>
    <row r="202" spans="1:14">
      <c r="A202" s="12"/>
      <c r="B202" s="251"/>
      <c r="C202" s="224"/>
      <c r="D202" s="268"/>
      <c r="E202" s="254"/>
      <c r="F202" s="12" t="s">
        <v>259</v>
      </c>
      <c r="G202" s="12"/>
      <c r="H202" s="12">
        <v>1</v>
      </c>
      <c r="I202" s="31">
        <v>48840000</v>
      </c>
      <c r="J202" s="31">
        <f t="shared" si="21"/>
        <v>48840000</v>
      </c>
      <c r="K202" s="31">
        <f>51840000-J202</f>
        <v>3000000</v>
      </c>
      <c r="L202" s="12"/>
      <c r="M202" s="33">
        <v>299831657</v>
      </c>
    </row>
    <row r="203" spans="1:14">
      <c r="A203" s="12"/>
      <c r="B203" s="251"/>
      <c r="C203" s="224"/>
      <c r="D203" s="268"/>
      <c r="E203" s="254"/>
      <c r="F203" s="12" t="s">
        <v>260</v>
      </c>
      <c r="G203" s="12"/>
      <c r="H203" s="12">
        <v>1</v>
      </c>
      <c r="I203" s="31">
        <v>46376650</v>
      </c>
      <c r="J203" s="31">
        <f t="shared" si="21"/>
        <v>46376650</v>
      </c>
      <c r="K203" s="31">
        <f>98203300-J203-J204</f>
        <v>5450000</v>
      </c>
      <c r="L203" s="12"/>
    </row>
    <row r="204" spans="1:14">
      <c r="A204" s="13"/>
      <c r="B204" s="252"/>
      <c r="C204" s="225"/>
      <c r="D204" s="312"/>
      <c r="E204" s="255"/>
      <c r="F204" s="13" t="s">
        <v>261</v>
      </c>
      <c r="G204" s="13"/>
      <c r="H204" s="13">
        <v>1</v>
      </c>
      <c r="I204" s="35">
        <v>46376650</v>
      </c>
      <c r="J204" s="35">
        <f t="shared" si="21"/>
        <v>46376650</v>
      </c>
      <c r="K204" s="35"/>
      <c r="L204" s="13"/>
    </row>
    <row r="205" spans="1:14" s="40" customFormat="1">
      <c r="A205" s="14"/>
      <c r="B205" s="14"/>
      <c r="C205" s="14"/>
      <c r="D205" s="8"/>
      <c r="E205" s="14"/>
      <c r="F205" s="14"/>
      <c r="G205" s="14"/>
      <c r="H205" s="14"/>
      <c r="I205" s="37"/>
      <c r="J205" s="38">
        <f>SUM(J165:J204)</f>
        <v>572562907</v>
      </c>
      <c r="K205" s="38">
        <f>SUM(K165:K204)</f>
        <v>22900000</v>
      </c>
      <c r="L205" s="39">
        <f>K205+J205</f>
        <v>595462907</v>
      </c>
      <c r="M205" s="46" t="e">
        <f>L205-'BM FIX'!#REF!</f>
        <v>#REF!</v>
      </c>
      <c r="N205" s="46">
        <f>SUM(K200:K204)</f>
        <v>14500000</v>
      </c>
    </row>
    <row r="206" spans="1:14">
      <c r="A206" s="72"/>
      <c r="B206" s="276" t="s">
        <v>262</v>
      </c>
      <c r="C206" s="299" t="s">
        <v>140</v>
      </c>
      <c r="D206" s="301" t="s">
        <v>263</v>
      </c>
      <c r="E206" s="258">
        <v>44505</v>
      </c>
      <c r="F206" s="72" t="s">
        <v>73</v>
      </c>
      <c r="G206" s="72" t="s">
        <v>232</v>
      </c>
      <c r="H206" s="72">
        <v>2</v>
      </c>
      <c r="I206" s="41">
        <v>11580000</v>
      </c>
      <c r="J206" s="66">
        <f>I206*H206</f>
        <v>23160000</v>
      </c>
      <c r="K206" s="41">
        <v>900000</v>
      </c>
      <c r="L206" s="72"/>
      <c r="M206" s="33">
        <f>K206+J206</f>
        <v>24060000</v>
      </c>
    </row>
    <row r="207" spans="1:14">
      <c r="A207" s="68"/>
      <c r="B207" s="277"/>
      <c r="C207" s="300"/>
      <c r="D207" s="302"/>
      <c r="E207" s="259"/>
      <c r="F207" s="68" t="s">
        <v>33</v>
      </c>
      <c r="G207" s="68" t="s">
        <v>264</v>
      </c>
      <c r="H207" s="68">
        <v>1</v>
      </c>
      <c r="I207" s="31">
        <v>11070000</v>
      </c>
      <c r="J207" s="67">
        <f>I207*H207</f>
        <v>11070000</v>
      </c>
      <c r="K207" s="31"/>
      <c r="L207" s="68"/>
    </row>
    <row r="208" spans="1:14">
      <c r="A208" s="68"/>
      <c r="B208" s="277"/>
      <c r="C208" s="289"/>
      <c r="D208" s="291"/>
      <c r="E208" s="260"/>
      <c r="F208" s="68" t="s">
        <v>37</v>
      </c>
      <c r="G208" s="68" t="s">
        <v>137</v>
      </c>
      <c r="H208" s="68">
        <v>2</v>
      </c>
      <c r="I208" s="31">
        <v>1770000</v>
      </c>
      <c r="J208" s="67">
        <f>I208*H208</f>
        <v>3540000</v>
      </c>
      <c r="K208" s="31"/>
      <c r="L208" s="68"/>
      <c r="M208" s="33">
        <f>SUM(J206:J208)</f>
        <v>37770000</v>
      </c>
    </row>
    <row r="209" spans="1:14" ht="30">
      <c r="A209" s="68"/>
      <c r="B209" s="277"/>
      <c r="C209" s="70" t="s">
        <v>248</v>
      </c>
      <c r="D209" s="88" t="s">
        <v>265</v>
      </c>
      <c r="E209" s="42">
        <v>44372</v>
      </c>
      <c r="F209" s="68" t="s">
        <v>20</v>
      </c>
      <c r="G209" s="68" t="s">
        <v>172</v>
      </c>
      <c r="H209" s="68">
        <v>1</v>
      </c>
      <c r="I209" s="31">
        <v>30800000</v>
      </c>
      <c r="J209" s="67">
        <f>I209</f>
        <v>30800000</v>
      </c>
      <c r="K209" s="31"/>
      <c r="L209" s="68"/>
    </row>
    <row r="210" spans="1:14">
      <c r="A210" s="68"/>
      <c r="B210" s="277"/>
      <c r="C210" s="306" t="s">
        <v>157</v>
      </c>
      <c r="D210" s="304" t="s">
        <v>266</v>
      </c>
      <c r="E210" s="261">
        <v>44358</v>
      </c>
      <c r="F210" s="68" t="s">
        <v>94</v>
      </c>
      <c r="G210" s="68"/>
      <c r="H210" s="68">
        <v>1</v>
      </c>
      <c r="I210" s="31">
        <v>4846500</v>
      </c>
      <c r="J210" s="67">
        <f>I210</f>
        <v>4846500</v>
      </c>
      <c r="K210" s="31"/>
      <c r="L210" s="68"/>
    </row>
    <row r="211" spans="1:14" ht="45">
      <c r="A211" s="68"/>
      <c r="B211" s="277"/>
      <c r="C211" s="306"/>
      <c r="D211" s="304"/>
      <c r="E211" s="260"/>
      <c r="F211" s="68" t="s">
        <v>96</v>
      </c>
      <c r="G211" s="68" t="s">
        <v>97</v>
      </c>
      <c r="H211" s="68">
        <v>1</v>
      </c>
      <c r="I211" s="31">
        <v>6889400</v>
      </c>
      <c r="J211" s="67">
        <f>I211</f>
        <v>6889400</v>
      </c>
      <c r="K211" s="31"/>
      <c r="L211" s="68"/>
      <c r="M211" s="33">
        <f>SUM(J210:J211)</f>
        <v>11735900</v>
      </c>
    </row>
    <row r="212" spans="1:14">
      <c r="A212" s="68"/>
      <c r="B212" s="277"/>
      <c r="C212" s="306" t="s">
        <v>157</v>
      </c>
      <c r="D212" s="304" t="s">
        <v>267</v>
      </c>
      <c r="E212" s="261">
        <v>44328</v>
      </c>
      <c r="F212" s="68" t="s">
        <v>42</v>
      </c>
      <c r="G212" s="68"/>
      <c r="H212" s="68">
        <v>4</v>
      </c>
      <c r="I212" s="31">
        <v>2139500</v>
      </c>
      <c r="J212" s="67">
        <f>I212*H212</f>
        <v>8558000</v>
      </c>
      <c r="K212" s="31"/>
      <c r="L212" s="68"/>
    </row>
    <row r="213" spans="1:14">
      <c r="A213" s="68"/>
      <c r="B213" s="277"/>
      <c r="C213" s="306"/>
      <c r="D213" s="304"/>
      <c r="E213" s="259"/>
      <c r="F213" s="68" t="s">
        <v>151</v>
      </c>
      <c r="G213" s="68"/>
      <c r="H213" s="68">
        <v>1</v>
      </c>
      <c r="I213" s="31">
        <v>4840000</v>
      </c>
      <c r="J213" s="67">
        <f t="shared" ref="J213:J217" si="22">I213*H213</f>
        <v>4840000</v>
      </c>
      <c r="K213" s="31"/>
      <c r="L213" s="68"/>
    </row>
    <row r="214" spans="1:14">
      <c r="A214" s="68"/>
      <c r="B214" s="277"/>
      <c r="C214" s="306"/>
      <c r="D214" s="304"/>
      <c r="E214" s="259"/>
      <c r="F214" s="68" t="s">
        <v>46</v>
      </c>
      <c r="G214" s="68"/>
      <c r="H214" s="68">
        <v>4</v>
      </c>
      <c r="I214" s="31">
        <v>1925000</v>
      </c>
      <c r="J214" s="67">
        <f t="shared" si="22"/>
        <v>7700000</v>
      </c>
      <c r="K214" s="31"/>
      <c r="L214" s="68"/>
    </row>
    <row r="215" spans="1:14">
      <c r="A215" s="68"/>
      <c r="B215" s="277"/>
      <c r="C215" s="306"/>
      <c r="D215" s="304"/>
      <c r="E215" s="259"/>
      <c r="F215" s="68" t="s">
        <v>44</v>
      </c>
      <c r="G215" s="68" t="s">
        <v>82</v>
      </c>
      <c r="H215" s="68">
        <v>50</v>
      </c>
      <c r="I215" s="31">
        <v>140800</v>
      </c>
      <c r="J215" s="67">
        <f t="shared" si="22"/>
        <v>7040000</v>
      </c>
      <c r="K215" s="31"/>
      <c r="L215" s="68"/>
    </row>
    <row r="216" spans="1:14">
      <c r="A216" s="68"/>
      <c r="B216" s="277"/>
      <c r="C216" s="306"/>
      <c r="D216" s="304"/>
      <c r="E216" s="259"/>
      <c r="F216" s="68" t="s">
        <v>153</v>
      </c>
      <c r="G216" s="68" t="s">
        <v>195</v>
      </c>
      <c r="H216" s="68">
        <v>1</v>
      </c>
      <c r="I216" s="31">
        <v>5930000</v>
      </c>
      <c r="J216" s="67">
        <f t="shared" si="22"/>
        <v>5930000</v>
      </c>
      <c r="K216" s="31"/>
      <c r="L216" s="68"/>
    </row>
    <row r="217" spans="1:14">
      <c r="A217" s="68"/>
      <c r="B217" s="277"/>
      <c r="C217" s="306"/>
      <c r="D217" s="304"/>
      <c r="E217" s="259"/>
      <c r="F217" s="68" t="s">
        <v>85</v>
      </c>
      <c r="G217" s="68" t="s">
        <v>86</v>
      </c>
      <c r="H217" s="68">
        <v>1</v>
      </c>
      <c r="I217" s="31">
        <v>3200000</v>
      </c>
      <c r="J217" s="67">
        <f t="shared" si="22"/>
        <v>3200000</v>
      </c>
      <c r="K217" s="31"/>
      <c r="L217" s="68"/>
    </row>
    <row r="218" spans="1:14">
      <c r="A218" s="68"/>
      <c r="B218" s="277"/>
      <c r="C218" s="306"/>
      <c r="D218" s="304"/>
      <c r="E218" s="259"/>
      <c r="F218" s="257" t="s">
        <v>87</v>
      </c>
      <c r="G218" s="68" t="s">
        <v>88</v>
      </c>
      <c r="H218" s="68">
        <v>1</v>
      </c>
      <c r="I218" s="31">
        <v>3400000</v>
      </c>
      <c r="J218" s="67">
        <f>I218*H218</f>
        <v>3400000</v>
      </c>
      <c r="K218" s="31">
        <v>850000</v>
      </c>
      <c r="L218" s="68"/>
      <c r="M218" s="33">
        <f>J218+J219+J220+K218</f>
        <v>12598000</v>
      </c>
    </row>
    <row r="219" spans="1:14">
      <c r="A219" s="68"/>
      <c r="B219" s="277"/>
      <c r="C219" s="306"/>
      <c r="D219" s="304"/>
      <c r="E219" s="259"/>
      <c r="F219" s="257"/>
      <c r="G219" s="68" t="s">
        <v>89</v>
      </c>
      <c r="H219" s="68">
        <v>1</v>
      </c>
      <c r="I219" s="31">
        <v>3400000</v>
      </c>
      <c r="J219" s="67">
        <f t="shared" ref="J219:J227" si="23">I219*H219</f>
        <v>3400000</v>
      </c>
      <c r="K219" s="31"/>
      <c r="L219" s="68"/>
    </row>
    <row r="220" spans="1:14">
      <c r="A220" s="68"/>
      <c r="B220" s="277"/>
      <c r="C220" s="306"/>
      <c r="D220" s="304"/>
      <c r="E220" s="260"/>
      <c r="F220" s="68" t="s">
        <v>90</v>
      </c>
      <c r="G220" s="68" t="s">
        <v>91</v>
      </c>
      <c r="H220" s="68">
        <v>2</v>
      </c>
      <c r="I220" s="31">
        <v>2474000</v>
      </c>
      <c r="J220" s="67">
        <f t="shared" si="23"/>
        <v>4948000</v>
      </c>
      <c r="K220" s="31"/>
      <c r="L220" s="68"/>
      <c r="M220" s="33">
        <f>SUM(J212:J220)</f>
        <v>49016000</v>
      </c>
      <c r="N220" s="33">
        <f>I221-600000</f>
        <v>4374970</v>
      </c>
    </row>
    <row r="221" spans="1:14" ht="30">
      <c r="A221" s="68"/>
      <c r="B221" s="277"/>
      <c r="C221" s="70" t="s">
        <v>157</v>
      </c>
      <c r="D221" s="88" t="s">
        <v>268</v>
      </c>
      <c r="E221" s="42">
        <v>44327</v>
      </c>
      <c r="F221" s="68" t="s">
        <v>30</v>
      </c>
      <c r="G221" s="68" t="s">
        <v>32</v>
      </c>
      <c r="H221" s="68">
        <v>1</v>
      </c>
      <c r="I221" s="31">
        <v>4974970</v>
      </c>
      <c r="J221" s="31">
        <f t="shared" si="23"/>
        <v>4974970</v>
      </c>
      <c r="K221" s="31">
        <v>600000</v>
      </c>
      <c r="L221" s="68"/>
      <c r="M221" s="57">
        <v>5574970</v>
      </c>
    </row>
    <row r="222" spans="1:14" ht="30">
      <c r="A222" s="68"/>
      <c r="B222" s="277"/>
      <c r="C222" s="68"/>
      <c r="D222" s="74"/>
      <c r="E222" s="68"/>
      <c r="F222" s="68" t="s">
        <v>54</v>
      </c>
      <c r="G222" s="68" t="s">
        <v>70</v>
      </c>
      <c r="H222" s="68">
        <v>1</v>
      </c>
      <c r="I222" s="31">
        <v>8000000</v>
      </c>
      <c r="J222" s="67">
        <f t="shared" si="23"/>
        <v>8000000</v>
      </c>
      <c r="K222" s="31"/>
      <c r="L222" s="68"/>
      <c r="M222" s="33">
        <f>J221+K221</f>
        <v>5574970</v>
      </c>
    </row>
    <row r="223" spans="1:14">
      <c r="A223" s="68"/>
      <c r="B223" s="277"/>
      <c r="C223" s="68"/>
      <c r="D223" s="74"/>
      <c r="E223" s="68"/>
      <c r="F223" s="68" t="s">
        <v>62</v>
      </c>
      <c r="G223" s="68"/>
      <c r="H223" s="68">
        <v>1</v>
      </c>
      <c r="I223" s="31">
        <v>300000</v>
      </c>
      <c r="J223" s="67">
        <f t="shared" si="23"/>
        <v>300000</v>
      </c>
      <c r="K223" s="31"/>
      <c r="L223" s="68"/>
      <c r="M223" s="33">
        <f>M222-M221</f>
        <v>0</v>
      </c>
    </row>
    <row r="224" spans="1:14" ht="15" customHeight="1">
      <c r="A224" s="68"/>
      <c r="B224" s="277"/>
      <c r="C224" s="253" t="s">
        <v>248</v>
      </c>
      <c r="D224" s="270"/>
      <c r="E224" s="253"/>
      <c r="F224" s="72" t="s">
        <v>128</v>
      </c>
      <c r="G224" s="72" t="s">
        <v>215</v>
      </c>
      <c r="H224" s="72">
        <v>1</v>
      </c>
      <c r="I224" s="41">
        <v>765000</v>
      </c>
      <c r="J224" s="66">
        <f t="shared" si="23"/>
        <v>765000</v>
      </c>
      <c r="K224" s="31"/>
      <c r="L224" s="68"/>
    </row>
    <row r="225" spans="1:15">
      <c r="A225" s="68"/>
      <c r="B225" s="277"/>
      <c r="C225" s="254"/>
      <c r="D225" s="271"/>
      <c r="E225" s="254"/>
      <c r="F225" s="72" t="s">
        <v>65</v>
      </c>
      <c r="G225" s="72"/>
      <c r="H225" s="72">
        <v>1</v>
      </c>
      <c r="I225" s="41">
        <v>385000</v>
      </c>
      <c r="J225" s="66">
        <f t="shared" si="23"/>
        <v>385000</v>
      </c>
      <c r="K225" s="31"/>
      <c r="L225" s="68"/>
    </row>
    <row r="226" spans="1:15">
      <c r="A226" s="68"/>
      <c r="B226" s="277"/>
      <c r="C226" s="254"/>
      <c r="D226" s="271"/>
      <c r="E226" s="254"/>
      <c r="F226" s="72" t="s">
        <v>130</v>
      </c>
      <c r="G226" s="61" t="s">
        <v>180</v>
      </c>
      <c r="H226" s="72">
        <v>1</v>
      </c>
      <c r="I226" s="41">
        <v>500000</v>
      </c>
      <c r="J226" s="66">
        <f t="shared" si="23"/>
        <v>500000</v>
      </c>
      <c r="K226" s="31"/>
      <c r="L226" s="68"/>
    </row>
    <row r="227" spans="1:15">
      <c r="A227" s="68"/>
      <c r="B227" s="277"/>
      <c r="C227" s="266"/>
      <c r="D227" s="272"/>
      <c r="E227" s="266"/>
      <c r="F227" s="68" t="s">
        <v>35</v>
      </c>
      <c r="G227" s="68"/>
      <c r="H227" s="68">
        <v>1</v>
      </c>
      <c r="I227" s="31">
        <v>6522750</v>
      </c>
      <c r="J227" s="67">
        <f t="shared" si="23"/>
        <v>6522750</v>
      </c>
      <c r="K227" s="31"/>
      <c r="L227" s="68"/>
    </row>
    <row r="228" spans="1:15">
      <c r="A228" s="72"/>
      <c r="B228" s="277"/>
      <c r="C228" s="68" t="s">
        <v>104</v>
      </c>
      <c r="D228" s="74"/>
      <c r="E228" s="68"/>
      <c r="F228" s="68" t="s">
        <v>105</v>
      </c>
      <c r="G228" s="68" t="s">
        <v>106</v>
      </c>
      <c r="H228" s="68">
        <v>1</v>
      </c>
      <c r="I228" s="31">
        <v>3500000</v>
      </c>
      <c r="J228" s="31">
        <f t="shared" ref="J228" si="24">I228</f>
        <v>3500000</v>
      </c>
      <c r="K228" s="41"/>
      <c r="L228" s="72"/>
      <c r="O228" s="33"/>
    </row>
    <row r="229" spans="1:15" ht="30">
      <c r="A229" s="68"/>
      <c r="B229" s="277"/>
      <c r="C229" s="68" t="s">
        <v>109</v>
      </c>
      <c r="D229" s="74"/>
      <c r="E229" s="68"/>
      <c r="F229" s="68" t="s">
        <v>107</v>
      </c>
      <c r="G229" s="68"/>
      <c r="H229" s="68">
        <v>1</v>
      </c>
      <c r="I229" s="31">
        <v>995000</v>
      </c>
      <c r="J229" s="67">
        <f t="shared" ref="J229" si="25">I229</f>
        <v>995000</v>
      </c>
      <c r="K229" s="31"/>
      <c r="L229" s="68"/>
    </row>
    <row r="230" spans="1:15">
      <c r="A230" s="68"/>
      <c r="B230" s="277"/>
      <c r="C230" s="68" t="s">
        <v>110</v>
      </c>
      <c r="D230" s="74"/>
      <c r="E230" s="68"/>
      <c r="F230" s="68" t="s">
        <v>108</v>
      </c>
      <c r="G230" s="68"/>
      <c r="H230" s="68">
        <v>2</v>
      </c>
      <c r="I230" s="31">
        <v>600000</v>
      </c>
      <c r="J230" s="67">
        <f>I230*H230</f>
        <v>1200000</v>
      </c>
      <c r="K230" s="31"/>
      <c r="L230" s="68"/>
    </row>
    <row r="231" spans="1:15">
      <c r="A231" s="68"/>
      <c r="B231" s="277"/>
      <c r="C231" s="56"/>
      <c r="D231" s="74"/>
      <c r="E231" s="68"/>
      <c r="F231" s="68" t="s">
        <v>20</v>
      </c>
      <c r="G231" s="68" t="s">
        <v>255</v>
      </c>
      <c r="H231" s="68">
        <v>1</v>
      </c>
      <c r="I231" s="31">
        <v>5000000</v>
      </c>
      <c r="J231" s="67">
        <f>I231*H231</f>
        <v>5000000</v>
      </c>
      <c r="K231" s="31"/>
      <c r="L231" s="68"/>
    </row>
    <row r="232" spans="1:15">
      <c r="A232" s="68"/>
      <c r="B232" s="277"/>
      <c r="C232" s="68"/>
      <c r="D232" s="74"/>
      <c r="E232" s="68"/>
      <c r="F232" s="68" t="s">
        <v>271</v>
      </c>
      <c r="G232" s="68" t="s">
        <v>270</v>
      </c>
      <c r="H232" s="68">
        <v>1</v>
      </c>
      <c r="I232" s="31">
        <v>7350000</v>
      </c>
      <c r="J232" s="31">
        <f>I232*H232</f>
        <v>7350000</v>
      </c>
      <c r="K232" s="31"/>
      <c r="L232" s="68"/>
    </row>
    <row r="233" spans="1:15">
      <c r="A233" s="68"/>
      <c r="B233" s="277"/>
      <c r="C233" s="253" t="s">
        <v>299</v>
      </c>
      <c r="D233" s="74"/>
      <c r="E233" s="68"/>
      <c r="F233" s="68" t="s">
        <v>272</v>
      </c>
      <c r="G233" s="68"/>
      <c r="H233" s="68">
        <v>1</v>
      </c>
      <c r="I233" s="31">
        <v>80872500</v>
      </c>
      <c r="J233" s="31">
        <f>I233*H233</f>
        <v>80872500</v>
      </c>
      <c r="K233" s="31">
        <v>3050000</v>
      </c>
      <c r="L233" s="68"/>
      <c r="M233" s="33">
        <f>J233+K233</f>
        <v>83922500</v>
      </c>
      <c r="N233" s="33">
        <f>J233+K233</f>
        <v>83922500</v>
      </c>
    </row>
    <row r="234" spans="1:15">
      <c r="A234" s="68"/>
      <c r="B234" s="277"/>
      <c r="C234" s="254"/>
      <c r="D234" s="74"/>
      <c r="E234" s="68"/>
      <c r="F234" s="68" t="s">
        <v>269</v>
      </c>
      <c r="G234" s="68"/>
      <c r="H234" s="68">
        <v>1</v>
      </c>
      <c r="I234" s="57">
        <v>19973727</v>
      </c>
      <c r="J234" s="31">
        <f t="shared" ref="J234:J235" si="26">I234*H234</f>
        <v>19973727</v>
      </c>
      <c r="K234" s="31"/>
      <c r="L234" s="68"/>
      <c r="M234" s="33">
        <f>J234+J235+K235</f>
        <v>43967027</v>
      </c>
      <c r="N234" s="33">
        <f>J234+J235+K235</f>
        <v>43967027</v>
      </c>
    </row>
    <row r="235" spans="1:15">
      <c r="A235" s="68"/>
      <c r="B235" s="277"/>
      <c r="C235" s="254"/>
      <c r="D235" s="74"/>
      <c r="E235" s="68"/>
      <c r="F235" s="68" t="s">
        <v>273</v>
      </c>
      <c r="G235" s="68"/>
      <c r="H235" s="68">
        <v>1</v>
      </c>
      <c r="I235" s="31">
        <v>20993300</v>
      </c>
      <c r="J235" s="31">
        <f t="shared" si="26"/>
        <v>20993300</v>
      </c>
      <c r="K235" s="31">
        <v>3000000</v>
      </c>
      <c r="L235" s="68"/>
    </row>
    <row r="236" spans="1:15" ht="30">
      <c r="A236" s="68"/>
      <c r="B236" s="277"/>
      <c r="C236" s="254"/>
      <c r="D236" s="74"/>
      <c r="E236" s="68"/>
      <c r="F236" s="68" t="s">
        <v>300</v>
      </c>
      <c r="G236" s="68"/>
      <c r="H236" s="68">
        <v>1</v>
      </c>
      <c r="I236" s="31">
        <v>50750000</v>
      </c>
      <c r="J236" s="31">
        <v>50750000</v>
      </c>
      <c r="K236" s="31">
        <v>2565000</v>
      </c>
      <c r="L236" s="68"/>
      <c r="M236" s="33">
        <f>SUM(J236:J239)</f>
        <v>299971657</v>
      </c>
      <c r="N236" s="33">
        <f>J236+K236</f>
        <v>53315000</v>
      </c>
    </row>
    <row r="237" spans="1:15">
      <c r="A237" s="68"/>
      <c r="B237" s="277"/>
      <c r="C237" s="254"/>
      <c r="D237" s="74"/>
      <c r="E237" s="68"/>
      <c r="F237" s="68" t="s">
        <v>301</v>
      </c>
      <c r="G237" s="68"/>
      <c r="H237" s="68">
        <v>1</v>
      </c>
      <c r="I237" s="31">
        <v>61779000</v>
      </c>
      <c r="J237" s="31">
        <v>61779000</v>
      </c>
      <c r="K237" s="31">
        <v>2565000</v>
      </c>
      <c r="L237" s="68"/>
      <c r="M237" s="57">
        <v>310231657</v>
      </c>
      <c r="N237" s="33">
        <v>332754147</v>
      </c>
    </row>
    <row r="238" spans="1:15">
      <c r="A238" s="68"/>
      <c r="B238" s="277"/>
      <c r="C238" s="254"/>
      <c r="D238" s="74"/>
      <c r="E238" s="68"/>
      <c r="F238" s="68" t="s">
        <v>302</v>
      </c>
      <c r="G238" s="68"/>
      <c r="H238" s="68">
        <v>1</v>
      </c>
      <c r="I238" s="31">
        <v>149436000</v>
      </c>
      <c r="J238" s="31">
        <v>149436000</v>
      </c>
      <c r="K238" s="31">
        <v>2565000</v>
      </c>
      <c r="L238" s="68"/>
      <c r="M238" s="33">
        <f>M237-M236</f>
        <v>10260000</v>
      </c>
      <c r="N238" s="33">
        <f>N237-N236-30000000-3700000</f>
        <v>245739147</v>
      </c>
    </row>
    <row r="239" spans="1:15">
      <c r="A239" s="71"/>
      <c r="B239" s="278"/>
      <c r="C239" s="255"/>
      <c r="D239" s="76"/>
      <c r="E239" s="71"/>
      <c r="F239" s="71" t="s">
        <v>303</v>
      </c>
      <c r="G239" s="71"/>
      <c r="H239" s="71">
        <v>1</v>
      </c>
      <c r="I239" s="35">
        <v>38006657</v>
      </c>
      <c r="J239" s="35">
        <v>38006657</v>
      </c>
      <c r="K239" s="35">
        <v>2565000</v>
      </c>
      <c r="L239" s="116">
        <f>SUM(K206:K239)</f>
        <v>18660000</v>
      </c>
      <c r="M239" s="33">
        <f>M238/4</f>
        <v>2565000</v>
      </c>
      <c r="N239" s="33"/>
    </row>
    <row r="240" spans="1:15" s="40" customFormat="1">
      <c r="A240" s="14"/>
      <c r="B240" s="14"/>
      <c r="C240" s="14"/>
      <c r="D240" s="8"/>
      <c r="E240" s="14"/>
      <c r="F240" s="14"/>
      <c r="G240" s="14"/>
      <c r="H240" s="14"/>
      <c r="I240" s="37"/>
      <c r="J240" s="38">
        <f>SUM(J206:J239)</f>
        <v>590625804</v>
      </c>
      <c r="K240" s="38">
        <f>SUM(K206:K239)</f>
        <v>18660000</v>
      </c>
      <c r="L240" s="39">
        <f>J240+K240</f>
        <v>609285804</v>
      </c>
      <c r="M240" s="46" t="e">
        <f>L240-'BM FIX'!#REF!</f>
        <v>#REF!</v>
      </c>
      <c r="N240" s="46"/>
    </row>
    <row r="241" spans="1:14">
      <c r="A241" s="68"/>
      <c r="B241" s="279" t="s">
        <v>274</v>
      </c>
      <c r="C241" s="253" t="s">
        <v>275</v>
      </c>
      <c r="D241" s="270" t="s">
        <v>6</v>
      </c>
      <c r="E241" s="261">
        <v>44525</v>
      </c>
      <c r="F241" s="68" t="s">
        <v>94</v>
      </c>
      <c r="G241" s="68"/>
      <c r="H241" s="68">
        <v>1</v>
      </c>
      <c r="I241" s="31">
        <v>3000000</v>
      </c>
      <c r="J241" s="31">
        <f>I241*H241</f>
        <v>3000000</v>
      </c>
      <c r="K241" s="31"/>
      <c r="L241" s="68"/>
      <c r="M241" s="33">
        <f>J240+K240</f>
        <v>609285804</v>
      </c>
      <c r="N241" s="33"/>
    </row>
    <row r="242" spans="1:14">
      <c r="A242" s="68"/>
      <c r="B242" s="280"/>
      <c r="C242" s="254"/>
      <c r="D242" s="271"/>
      <c r="E242" s="259"/>
      <c r="F242" s="68" t="s">
        <v>62</v>
      </c>
      <c r="G242" s="68" t="s">
        <v>127</v>
      </c>
      <c r="H242" s="68">
        <v>1</v>
      </c>
      <c r="I242" s="31">
        <v>300000</v>
      </c>
      <c r="J242" s="31">
        <f t="shared" ref="J242:J253" si="27">I242*H242</f>
        <v>300000</v>
      </c>
      <c r="K242" s="31"/>
      <c r="L242" s="68"/>
      <c r="M242" s="33">
        <f>J240-'BM FIX'!J241</f>
        <v>-18660000</v>
      </c>
      <c r="N242" s="33"/>
    </row>
    <row r="243" spans="1:14">
      <c r="A243" s="68"/>
      <c r="B243" s="280"/>
      <c r="C243" s="254"/>
      <c r="D243" s="271"/>
      <c r="E243" s="259"/>
      <c r="F243" s="68" t="s">
        <v>130</v>
      </c>
      <c r="G243" s="68"/>
      <c r="H243" s="68">
        <v>1</v>
      </c>
      <c r="I243" s="31">
        <v>2000000</v>
      </c>
      <c r="J243" s="31">
        <f t="shared" si="27"/>
        <v>2000000</v>
      </c>
      <c r="K243" s="31"/>
      <c r="L243" s="68"/>
      <c r="N243" s="33"/>
    </row>
    <row r="244" spans="1:14">
      <c r="A244" s="68"/>
      <c r="B244" s="280"/>
      <c r="C244" s="254"/>
      <c r="D244" s="271"/>
      <c r="E244" s="259"/>
      <c r="F244" s="68" t="s">
        <v>276</v>
      </c>
      <c r="G244" s="68"/>
      <c r="H244" s="68">
        <v>1</v>
      </c>
      <c r="I244" s="31">
        <v>700000</v>
      </c>
      <c r="J244" s="31">
        <f t="shared" si="27"/>
        <v>700000</v>
      </c>
      <c r="K244" s="31"/>
      <c r="L244" s="68"/>
      <c r="N244" s="33"/>
    </row>
    <row r="245" spans="1:14">
      <c r="A245" s="68"/>
      <c r="B245" s="280"/>
      <c r="C245" s="254"/>
      <c r="D245" s="271"/>
      <c r="E245" s="259"/>
      <c r="F245" s="68" t="s">
        <v>277</v>
      </c>
      <c r="G245" s="68"/>
      <c r="H245" s="68">
        <v>1</v>
      </c>
      <c r="I245" s="31">
        <v>4000000</v>
      </c>
      <c r="J245" s="31">
        <f t="shared" si="27"/>
        <v>4000000</v>
      </c>
      <c r="K245" s="31"/>
      <c r="L245" s="68"/>
      <c r="N245" s="33"/>
    </row>
    <row r="246" spans="1:14">
      <c r="A246" s="68"/>
      <c r="B246" s="280"/>
      <c r="C246" s="254"/>
      <c r="D246" s="271"/>
      <c r="E246" s="259"/>
      <c r="F246" s="68" t="s">
        <v>278</v>
      </c>
      <c r="G246" s="68" t="s">
        <v>69</v>
      </c>
      <c r="H246" s="68">
        <v>1</v>
      </c>
      <c r="I246" s="31">
        <v>2500000</v>
      </c>
      <c r="J246" s="31">
        <f t="shared" si="27"/>
        <v>2500000</v>
      </c>
      <c r="K246" s="31"/>
      <c r="L246" s="68"/>
      <c r="N246" s="33"/>
    </row>
    <row r="247" spans="1:14">
      <c r="A247" s="68"/>
      <c r="B247" s="280"/>
      <c r="C247" s="254"/>
      <c r="D247" s="271"/>
      <c r="E247" s="259"/>
      <c r="F247" s="68" t="s">
        <v>279</v>
      </c>
      <c r="G247" s="68"/>
      <c r="H247" s="68">
        <v>1</v>
      </c>
      <c r="I247" s="31">
        <v>5000000</v>
      </c>
      <c r="J247" s="31">
        <f t="shared" si="27"/>
        <v>5000000</v>
      </c>
      <c r="K247" s="31"/>
      <c r="L247" s="68"/>
      <c r="N247" s="33"/>
    </row>
    <row r="248" spans="1:14">
      <c r="A248" s="68"/>
      <c r="B248" s="280"/>
      <c r="C248" s="266"/>
      <c r="D248" s="272"/>
      <c r="E248" s="260"/>
      <c r="F248" s="68" t="s">
        <v>280</v>
      </c>
      <c r="G248" s="68"/>
      <c r="H248" s="68">
        <v>1</v>
      </c>
      <c r="I248" s="31">
        <v>8000000</v>
      </c>
      <c r="J248" s="31">
        <f t="shared" si="27"/>
        <v>8000000</v>
      </c>
      <c r="K248" s="31"/>
      <c r="L248" s="68"/>
      <c r="N248" s="33"/>
    </row>
    <row r="249" spans="1:14">
      <c r="A249" s="68"/>
      <c r="B249" s="280"/>
      <c r="C249" s="306" t="s">
        <v>184</v>
      </c>
      <c r="D249" s="304" t="s">
        <v>282</v>
      </c>
      <c r="E249" s="261">
        <v>44505</v>
      </c>
      <c r="F249" s="68" t="s">
        <v>73</v>
      </c>
      <c r="G249" s="68" t="s">
        <v>281</v>
      </c>
      <c r="H249" s="68">
        <v>2</v>
      </c>
      <c r="I249" s="31">
        <v>8900000</v>
      </c>
      <c r="J249" s="31">
        <f t="shared" si="27"/>
        <v>17800000</v>
      </c>
      <c r="K249" s="31">
        <v>900000</v>
      </c>
      <c r="L249" s="68"/>
      <c r="M249" s="33">
        <f>SUM(J249:K249)</f>
        <v>18700000</v>
      </c>
      <c r="N249" s="33"/>
    </row>
    <row r="250" spans="1:14">
      <c r="A250" s="68"/>
      <c r="B250" s="280"/>
      <c r="C250" s="306"/>
      <c r="D250" s="304"/>
      <c r="E250" s="259"/>
      <c r="F250" s="68" t="s">
        <v>33</v>
      </c>
      <c r="G250" s="68" t="s">
        <v>283</v>
      </c>
      <c r="H250" s="68">
        <v>2</v>
      </c>
      <c r="I250" s="31">
        <v>8700000</v>
      </c>
      <c r="J250" s="31">
        <f t="shared" si="27"/>
        <v>17400000</v>
      </c>
      <c r="K250" s="31"/>
      <c r="L250" s="68"/>
      <c r="M250" s="33">
        <f>19450000-M249</f>
        <v>750000</v>
      </c>
      <c r="N250" s="33"/>
    </row>
    <row r="251" spans="1:14">
      <c r="A251" s="68"/>
      <c r="B251" s="280"/>
      <c r="C251" s="306"/>
      <c r="D251" s="304"/>
      <c r="E251" s="259"/>
      <c r="F251" s="68" t="s">
        <v>37</v>
      </c>
      <c r="G251" s="68" t="s">
        <v>284</v>
      </c>
      <c r="H251" s="68">
        <v>2</v>
      </c>
      <c r="I251" s="31">
        <v>2630000</v>
      </c>
      <c r="J251" s="31">
        <f t="shared" si="27"/>
        <v>5260000</v>
      </c>
      <c r="K251" s="31"/>
      <c r="L251" s="68"/>
      <c r="N251" s="33"/>
    </row>
    <row r="252" spans="1:14">
      <c r="A252" s="68"/>
      <c r="B252" s="280"/>
      <c r="C252" s="306"/>
      <c r="D252" s="304"/>
      <c r="E252" s="260"/>
      <c r="F252" s="68" t="s">
        <v>35</v>
      </c>
      <c r="G252" s="68" t="s">
        <v>285</v>
      </c>
      <c r="H252" s="68">
        <v>1</v>
      </c>
      <c r="I252" s="31">
        <v>9350000</v>
      </c>
      <c r="J252" s="31">
        <f t="shared" si="27"/>
        <v>9350000</v>
      </c>
      <c r="K252" s="31"/>
      <c r="L252" s="68"/>
      <c r="N252" s="33"/>
    </row>
    <row r="253" spans="1:14">
      <c r="A253" s="68"/>
      <c r="B253" s="280"/>
      <c r="C253" s="70" t="s">
        <v>71</v>
      </c>
      <c r="D253" s="88" t="s">
        <v>8</v>
      </c>
      <c r="E253" s="42">
        <v>44432</v>
      </c>
      <c r="F253" s="68" t="s">
        <v>30</v>
      </c>
      <c r="G253" s="68" t="s">
        <v>286</v>
      </c>
      <c r="H253" s="68">
        <v>2</v>
      </c>
      <c r="I253" s="31">
        <f>13800000/2</f>
        <v>6900000</v>
      </c>
      <c r="J253" s="31">
        <f t="shared" si="27"/>
        <v>13800000</v>
      </c>
      <c r="K253" s="31"/>
      <c r="L253" s="68"/>
      <c r="N253" s="33"/>
    </row>
    <row r="254" spans="1:14" ht="45">
      <c r="A254" s="68"/>
      <c r="B254" s="280"/>
      <c r="C254" s="70" t="s">
        <v>78</v>
      </c>
      <c r="D254" s="88" t="s">
        <v>287</v>
      </c>
      <c r="E254" s="42">
        <v>44358</v>
      </c>
      <c r="F254" s="68" t="s">
        <v>96</v>
      </c>
      <c r="G254" s="68" t="s">
        <v>97</v>
      </c>
      <c r="H254" s="68">
        <v>1</v>
      </c>
      <c r="I254" s="31">
        <v>6990500</v>
      </c>
      <c r="J254" s="67">
        <f>I254</f>
        <v>6990500</v>
      </c>
      <c r="K254" s="31"/>
      <c r="L254" s="68"/>
      <c r="N254" s="33"/>
    </row>
    <row r="255" spans="1:14">
      <c r="A255" s="68"/>
      <c r="B255" s="280"/>
      <c r="C255" s="306" t="s">
        <v>248</v>
      </c>
      <c r="D255" s="304" t="s">
        <v>288</v>
      </c>
      <c r="E255" s="261">
        <v>44327</v>
      </c>
      <c r="F255" s="68" t="s">
        <v>289</v>
      </c>
      <c r="G255" s="68"/>
      <c r="H255" s="68">
        <v>2</v>
      </c>
      <c r="I255" s="31">
        <f>4399500/2</f>
        <v>2199750</v>
      </c>
      <c r="J255" s="31">
        <f>I255*H255</f>
        <v>4399500</v>
      </c>
      <c r="K255" s="31"/>
      <c r="L255" s="68"/>
      <c r="N255" s="33"/>
    </row>
    <row r="256" spans="1:14">
      <c r="A256" s="68"/>
      <c r="B256" s="280"/>
      <c r="C256" s="306"/>
      <c r="D256" s="304"/>
      <c r="E256" s="259"/>
      <c r="F256" s="68" t="s">
        <v>290</v>
      </c>
      <c r="G256" s="68"/>
      <c r="H256" s="68">
        <v>2</v>
      </c>
      <c r="I256" s="31">
        <f>3981500/2</f>
        <v>1990750</v>
      </c>
      <c r="J256" s="31">
        <f>I256*H256</f>
        <v>3981500</v>
      </c>
      <c r="K256" s="31"/>
      <c r="L256" s="68"/>
      <c r="N256" s="33"/>
    </row>
    <row r="257" spans="1:14">
      <c r="A257" s="68"/>
      <c r="B257" s="280"/>
      <c r="C257" s="306"/>
      <c r="D257" s="304"/>
      <c r="E257" s="259"/>
      <c r="F257" s="68" t="s">
        <v>153</v>
      </c>
      <c r="G257" s="68" t="s">
        <v>291</v>
      </c>
      <c r="H257" s="68">
        <v>1</v>
      </c>
      <c r="I257" s="31">
        <v>6800500</v>
      </c>
      <c r="J257" s="31">
        <f>I257*H257</f>
        <v>6800500</v>
      </c>
      <c r="K257" s="31"/>
      <c r="L257" s="68"/>
      <c r="N257" s="33"/>
    </row>
    <row r="258" spans="1:14">
      <c r="A258" s="68"/>
      <c r="B258" s="280"/>
      <c r="C258" s="306"/>
      <c r="D258" s="304"/>
      <c r="E258" s="259"/>
      <c r="F258" s="68" t="s">
        <v>292</v>
      </c>
      <c r="G258" s="68" t="s">
        <v>69</v>
      </c>
      <c r="H258" s="68">
        <v>1</v>
      </c>
      <c r="I258" s="31">
        <v>3000000</v>
      </c>
      <c r="J258" s="31">
        <f>I258*H258</f>
        <v>3000000</v>
      </c>
      <c r="K258" s="31"/>
      <c r="L258" s="68"/>
      <c r="N258" s="33"/>
    </row>
    <row r="259" spans="1:14">
      <c r="A259" s="68"/>
      <c r="B259" s="280"/>
      <c r="C259" s="306"/>
      <c r="D259" s="304"/>
      <c r="E259" s="259"/>
      <c r="F259" s="257" t="s">
        <v>87</v>
      </c>
      <c r="G259" s="68" t="s">
        <v>88</v>
      </c>
      <c r="H259" s="68">
        <v>2</v>
      </c>
      <c r="I259" s="31">
        <v>3300000</v>
      </c>
      <c r="J259" s="67">
        <f>I259*H259</f>
        <v>6600000</v>
      </c>
      <c r="K259" s="31">
        <v>850000</v>
      </c>
      <c r="L259" s="68"/>
      <c r="N259" s="33"/>
    </row>
    <row r="260" spans="1:14">
      <c r="A260" s="68"/>
      <c r="B260" s="280"/>
      <c r="C260" s="306"/>
      <c r="D260" s="304"/>
      <c r="E260" s="259"/>
      <c r="F260" s="257"/>
      <c r="G260" s="68" t="s">
        <v>89</v>
      </c>
      <c r="H260" s="68">
        <v>2</v>
      </c>
      <c r="I260" s="31">
        <v>3300000</v>
      </c>
      <c r="J260" s="67">
        <f t="shared" ref="J260:J261" si="28">I260*H260</f>
        <v>6600000</v>
      </c>
      <c r="K260" s="31"/>
      <c r="L260" s="68"/>
      <c r="N260" s="33"/>
    </row>
    <row r="261" spans="1:14">
      <c r="A261" s="68"/>
      <c r="B261" s="280"/>
      <c r="C261" s="306"/>
      <c r="D261" s="304"/>
      <c r="E261" s="260"/>
      <c r="F261" s="68" t="s">
        <v>90</v>
      </c>
      <c r="G261" s="68" t="s">
        <v>91</v>
      </c>
      <c r="H261" s="68">
        <v>2</v>
      </c>
      <c r="I261" s="31">
        <f>4838500/2</f>
        <v>2419250</v>
      </c>
      <c r="J261" s="67">
        <f t="shared" si="28"/>
        <v>4838500</v>
      </c>
      <c r="K261" s="31"/>
      <c r="L261" s="68"/>
      <c r="N261" s="33"/>
    </row>
    <row r="262" spans="1:14">
      <c r="A262" s="68"/>
      <c r="B262" s="280"/>
      <c r="C262" s="68" t="s">
        <v>104</v>
      </c>
      <c r="D262" s="74"/>
      <c r="E262" s="68"/>
      <c r="F262" s="68" t="s">
        <v>105</v>
      </c>
      <c r="G262" s="68" t="s">
        <v>106</v>
      </c>
      <c r="H262" s="68">
        <v>1</v>
      </c>
      <c r="I262" s="31">
        <v>3500000</v>
      </c>
      <c r="J262" s="31">
        <f t="shared" ref="J262:J263" si="29">I262</f>
        <v>3500000</v>
      </c>
      <c r="K262" s="31"/>
      <c r="L262" s="68"/>
      <c r="N262" s="33"/>
    </row>
    <row r="263" spans="1:14" ht="30">
      <c r="A263" s="68"/>
      <c r="B263" s="280"/>
      <c r="C263" s="68" t="s">
        <v>109</v>
      </c>
      <c r="D263" s="74"/>
      <c r="E263" s="68"/>
      <c r="F263" s="68" t="s">
        <v>107</v>
      </c>
      <c r="G263" s="68"/>
      <c r="H263" s="68">
        <v>1</v>
      </c>
      <c r="I263" s="31">
        <v>995000</v>
      </c>
      <c r="J263" s="67">
        <f t="shared" si="29"/>
        <v>995000</v>
      </c>
      <c r="K263" s="31"/>
      <c r="L263" s="68"/>
      <c r="N263" s="2">
        <v>114307027</v>
      </c>
    </row>
    <row r="264" spans="1:14">
      <c r="A264" s="68"/>
      <c r="B264" s="280"/>
      <c r="C264" s="68" t="s">
        <v>110</v>
      </c>
      <c r="D264" s="74"/>
      <c r="E264" s="68"/>
      <c r="F264" s="68" t="s">
        <v>108</v>
      </c>
      <c r="G264" s="68"/>
      <c r="H264" s="68">
        <v>2</v>
      </c>
      <c r="I264" s="31">
        <v>600000</v>
      </c>
      <c r="J264" s="67">
        <f>I264*H264</f>
        <v>1200000</v>
      </c>
      <c r="K264" s="31"/>
      <c r="L264" s="68"/>
      <c r="N264" s="33"/>
    </row>
    <row r="265" spans="1:14">
      <c r="A265" s="68"/>
      <c r="B265" s="280"/>
      <c r="C265" s="68"/>
      <c r="D265" s="74"/>
      <c r="E265" s="68"/>
      <c r="F265" s="68" t="s">
        <v>170</v>
      </c>
      <c r="G265" s="68" t="s">
        <v>255</v>
      </c>
      <c r="H265" s="68">
        <v>1</v>
      </c>
      <c r="I265" s="31">
        <v>5000000</v>
      </c>
      <c r="J265" s="31">
        <f>I265*H265</f>
        <v>5000000</v>
      </c>
      <c r="K265" s="31"/>
      <c r="L265" s="68"/>
      <c r="N265" s="33">
        <f>N263-J266</f>
        <v>3050000</v>
      </c>
    </row>
    <row r="266" spans="1:14">
      <c r="A266" s="68"/>
      <c r="B266" s="280"/>
      <c r="C266" s="253" t="s">
        <v>294</v>
      </c>
      <c r="D266" s="74" t="s">
        <v>4</v>
      </c>
      <c r="E266" s="68"/>
      <c r="F266" s="68" t="s">
        <v>293</v>
      </c>
      <c r="G266" s="109" t="s">
        <v>428</v>
      </c>
      <c r="H266" s="68">
        <v>1</v>
      </c>
      <c r="I266" s="31">
        <v>111257027</v>
      </c>
      <c r="J266" s="31">
        <f>I266</f>
        <v>111257027</v>
      </c>
      <c r="K266" s="31">
        <f>3050000+1300000</f>
        <v>4350000</v>
      </c>
      <c r="L266" s="68"/>
      <c r="N266" s="57">
        <v>332754147</v>
      </c>
    </row>
    <row r="267" spans="1:14">
      <c r="A267" s="68"/>
      <c r="B267" s="280"/>
      <c r="C267" s="254"/>
      <c r="D267" s="74" t="s">
        <v>2</v>
      </c>
      <c r="E267" s="68"/>
      <c r="F267" s="68" t="s">
        <v>295</v>
      </c>
      <c r="G267" s="68" t="s">
        <v>7</v>
      </c>
      <c r="H267" s="68">
        <v>1</v>
      </c>
      <c r="I267" s="31">
        <v>55000000</v>
      </c>
      <c r="J267" s="31">
        <f>I267</f>
        <v>55000000</v>
      </c>
      <c r="K267" s="31">
        <v>4150000</v>
      </c>
      <c r="L267" s="68"/>
      <c r="M267" s="33">
        <f>J267+K267</f>
        <v>59150000</v>
      </c>
      <c r="N267" s="33">
        <v>290372527</v>
      </c>
    </row>
    <row r="268" spans="1:14">
      <c r="A268" s="68"/>
      <c r="B268" s="280"/>
      <c r="C268" s="254"/>
      <c r="D268" s="74" t="s">
        <v>1</v>
      </c>
      <c r="E268" s="68"/>
      <c r="F268" s="68" t="s">
        <v>297</v>
      </c>
      <c r="G268" s="109" t="s">
        <v>425</v>
      </c>
      <c r="H268" s="68">
        <v>1</v>
      </c>
      <c r="I268" s="31">
        <v>50000000</v>
      </c>
      <c r="J268" s="31">
        <f t="shared" ref="J268:J270" si="30">I268</f>
        <v>50000000</v>
      </c>
      <c r="K268" s="31">
        <v>4150000</v>
      </c>
      <c r="L268" s="68"/>
      <c r="N268" s="33">
        <f>N267-30000000-M267</f>
        <v>201222527</v>
      </c>
    </row>
    <row r="269" spans="1:14">
      <c r="A269" s="68"/>
      <c r="B269" s="280"/>
      <c r="C269" s="254"/>
      <c r="D269" s="74" t="s">
        <v>3</v>
      </c>
      <c r="E269" s="68"/>
      <c r="F269" s="68" t="s">
        <v>298</v>
      </c>
      <c r="G269" s="109" t="s">
        <v>426</v>
      </c>
      <c r="H269" s="68">
        <v>1</v>
      </c>
      <c r="I269" s="31">
        <v>60000000</v>
      </c>
      <c r="J269" s="31">
        <f t="shared" si="30"/>
        <v>60000000</v>
      </c>
      <c r="K269" s="31">
        <v>4150000</v>
      </c>
      <c r="L269" s="68"/>
    </row>
    <row r="270" spans="1:14">
      <c r="A270" s="71"/>
      <c r="B270" s="281"/>
      <c r="C270" s="266"/>
      <c r="D270" s="76" t="s">
        <v>5</v>
      </c>
      <c r="E270" s="71"/>
      <c r="F270" s="71" t="s">
        <v>296</v>
      </c>
      <c r="G270" s="110" t="s">
        <v>427</v>
      </c>
      <c r="H270" s="71">
        <v>1</v>
      </c>
      <c r="I270" s="35">
        <v>145433957</v>
      </c>
      <c r="J270" s="35">
        <f t="shared" si="30"/>
        <v>145433957</v>
      </c>
      <c r="K270" s="35">
        <v>4150000</v>
      </c>
      <c r="L270" s="71"/>
      <c r="N270" s="57">
        <v>327033957</v>
      </c>
    </row>
    <row r="271" spans="1:14" s="40" customFormat="1">
      <c r="A271" s="14"/>
      <c r="B271" s="14"/>
      <c r="C271" s="14"/>
      <c r="D271" s="8"/>
      <c r="E271" s="14"/>
      <c r="F271" s="14"/>
      <c r="G271" s="14"/>
      <c r="H271" s="14"/>
      <c r="I271" s="37"/>
      <c r="J271" s="38">
        <f>SUM(J241:J270)</f>
        <v>564706484</v>
      </c>
      <c r="K271" s="38">
        <f>SUM(K241:K270)</f>
        <v>22700000</v>
      </c>
      <c r="L271" s="39">
        <f>K271+J271</f>
        <v>587406484</v>
      </c>
      <c r="M271" s="46" t="e">
        <f>L271-'BM FIX'!#REF!</f>
        <v>#REF!</v>
      </c>
      <c r="N271" s="46">
        <f>J271+K271</f>
        <v>587406484</v>
      </c>
    </row>
    <row r="272" spans="1:14">
      <c r="A272" s="72"/>
      <c r="B272" s="276" t="s">
        <v>304</v>
      </c>
      <c r="C272" s="282" t="s">
        <v>173</v>
      </c>
      <c r="D272" s="283" t="s">
        <v>306</v>
      </c>
      <c r="E272" s="258">
        <v>44534</v>
      </c>
      <c r="F272" s="72" t="s">
        <v>73</v>
      </c>
      <c r="G272" s="72" t="s">
        <v>305</v>
      </c>
      <c r="H272" s="72">
        <v>2</v>
      </c>
      <c r="I272" s="41">
        <v>9300000</v>
      </c>
      <c r="J272" s="41">
        <f>I272*H272</f>
        <v>18600000</v>
      </c>
      <c r="K272" s="41">
        <v>850000</v>
      </c>
      <c r="L272" s="72"/>
      <c r="M272" s="33">
        <f>J272+K272</f>
        <v>19450000</v>
      </c>
      <c r="N272" s="33">
        <f>N271-N270</f>
        <v>260372527</v>
      </c>
    </row>
    <row r="273" spans="1:14">
      <c r="A273" s="72"/>
      <c r="B273" s="277"/>
      <c r="C273" s="273"/>
      <c r="D273" s="274"/>
      <c r="E273" s="259"/>
      <c r="F273" s="253" t="s">
        <v>33</v>
      </c>
      <c r="G273" s="72" t="s">
        <v>208</v>
      </c>
      <c r="H273" s="72">
        <v>1</v>
      </c>
      <c r="I273" s="41">
        <v>7430000</v>
      </c>
      <c r="J273" s="41">
        <f>I273*H273</f>
        <v>7430000</v>
      </c>
      <c r="K273" s="41"/>
      <c r="L273" s="72"/>
      <c r="M273" s="33">
        <f>21850000-M272</f>
        <v>2400000</v>
      </c>
      <c r="N273" s="33"/>
    </row>
    <row r="274" spans="1:14">
      <c r="A274" s="72"/>
      <c r="B274" s="277"/>
      <c r="C274" s="273"/>
      <c r="D274" s="274"/>
      <c r="E274" s="259"/>
      <c r="F274" s="266"/>
      <c r="G274" s="72" t="s">
        <v>136</v>
      </c>
      <c r="H274" s="72">
        <v>1</v>
      </c>
      <c r="I274" s="41">
        <v>7300000</v>
      </c>
      <c r="J274" s="41">
        <f t="shared" ref="J274:J282" si="31">I274*H274</f>
        <v>7300000</v>
      </c>
      <c r="K274" s="41"/>
      <c r="L274" s="72"/>
      <c r="N274" s="33"/>
    </row>
    <row r="275" spans="1:14">
      <c r="A275" s="72"/>
      <c r="B275" s="277"/>
      <c r="C275" s="273"/>
      <c r="D275" s="274"/>
      <c r="E275" s="259"/>
      <c r="F275" s="72" t="s">
        <v>37</v>
      </c>
      <c r="G275" s="72" t="s">
        <v>307</v>
      </c>
      <c r="H275" s="72">
        <v>2</v>
      </c>
      <c r="I275" s="41">
        <v>1800000</v>
      </c>
      <c r="J275" s="41">
        <f t="shared" si="31"/>
        <v>3600000</v>
      </c>
      <c r="K275" s="41"/>
      <c r="L275" s="72"/>
      <c r="N275" s="33"/>
    </row>
    <row r="276" spans="1:14">
      <c r="A276" s="72"/>
      <c r="B276" s="277"/>
      <c r="C276" s="263"/>
      <c r="D276" s="265"/>
      <c r="E276" s="260"/>
      <c r="F276" s="72" t="s">
        <v>35</v>
      </c>
      <c r="G276" s="72" t="s">
        <v>139</v>
      </c>
      <c r="H276" s="72">
        <v>1</v>
      </c>
      <c r="I276" s="41">
        <v>6900000</v>
      </c>
      <c r="J276" s="41">
        <f t="shared" si="31"/>
        <v>6900000</v>
      </c>
      <c r="K276" s="41"/>
      <c r="L276" s="72"/>
      <c r="N276" s="33"/>
    </row>
    <row r="277" spans="1:14">
      <c r="A277" s="72"/>
      <c r="B277" s="277"/>
      <c r="C277" s="262" t="s">
        <v>60</v>
      </c>
      <c r="D277" s="264" t="s">
        <v>308</v>
      </c>
      <c r="E277" s="261">
        <v>44448</v>
      </c>
      <c r="F277" s="72" t="s">
        <v>309</v>
      </c>
      <c r="G277" s="72"/>
      <c r="H277" s="72">
        <v>2</v>
      </c>
      <c r="I277" s="41">
        <v>2800000</v>
      </c>
      <c r="J277" s="41">
        <f t="shared" si="31"/>
        <v>5600000</v>
      </c>
      <c r="K277" s="41"/>
      <c r="L277" s="72"/>
      <c r="N277" s="33"/>
    </row>
    <row r="278" spans="1:14">
      <c r="A278" s="72"/>
      <c r="B278" s="277"/>
      <c r="C278" s="273"/>
      <c r="D278" s="274"/>
      <c r="E278" s="259"/>
      <c r="F278" s="72" t="s">
        <v>62</v>
      </c>
      <c r="G278" s="72" t="s">
        <v>127</v>
      </c>
      <c r="H278" s="72">
        <v>1</v>
      </c>
      <c r="I278" s="41">
        <v>300000</v>
      </c>
      <c r="J278" s="41">
        <f t="shared" si="31"/>
        <v>300000</v>
      </c>
      <c r="K278" s="41"/>
      <c r="L278" s="72"/>
      <c r="N278" s="33"/>
    </row>
    <row r="279" spans="1:14">
      <c r="A279" s="72"/>
      <c r="B279" s="277"/>
      <c r="C279" s="273"/>
      <c r="D279" s="274"/>
      <c r="E279" s="259"/>
      <c r="F279" s="72" t="s">
        <v>67</v>
      </c>
      <c r="G279" s="72"/>
      <c r="H279" s="72">
        <v>1</v>
      </c>
      <c r="I279" s="41">
        <v>2000000</v>
      </c>
      <c r="J279" s="41">
        <f t="shared" si="31"/>
        <v>2000000</v>
      </c>
      <c r="K279" s="41"/>
      <c r="L279" s="72"/>
      <c r="N279" s="33"/>
    </row>
    <row r="280" spans="1:14">
      <c r="A280" s="72"/>
      <c r="B280" s="277"/>
      <c r="C280" s="273"/>
      <c r="D280" s="274"/>
      <c r="E280" s="259"/>
      <c r="F280" s="72" t="s">
        <v>276</v>
      </c>
      <c r="G280" s="72"/>
      <c r="H280" s="72">
        <v>1</v>
      </c>
      <c r="I280" s="41">
        <v>700000</v>
      </c>
      <c r="J280" s="41">
        <f t="shared" si="31"/>
        <v>700000</v>
      </c>
      <c r="K280" s="41"/>
      <c r="L280" s="72"/>
      <c r="N280" s="33"/>
    </row>
    <row r="281" spans="1:14">
      <c r="A281" s="72"/>
      <c r="B281" s="277"/>
      <c r="C281" s="273"/>
      <c r="D281" s="274"/>
      <c r="E281" s="259"/>
      <c r="F281" s="72" t="s">
        <v>146</v>
      </c>
      <c r="G281" s="72" t="s">
        <v>242</v>
      </c>
      <c r="H281" s="72">
        <v>2</v>
      </c>
      <c r="I281" s="41">
        <v>2000000</v>
      </c>
      <c r="J281" s="41">
        <f t="shared" si="31"/>
        <v>4000000</v>
      </c>
      <c r="K281" s="41"/>
      <c r="L281" s="72"/>
      <c r="N281" s="33"/>
    </row>
    <row r="282" spans="1:14">
      <c r="A282" s="72"/>
      <c r="B282" s="277"/>
      <c r="C282" s="273"/>
      <c r="D282" s="274"/>
      <c r="E282" s="259"/>
      <c r="F282" s="72" t="s">
        <v>148</v>
      </c>
      <c r="G282" s="72"/>
      <c r="H282" s="72">
        <v>2</v>
      </c>
      <c r="I282" s="41">
        <v>600000</v>
      </c>
      <c r="J282" s="41">
        <f t="shared" si="31"/>
        <v>1200000</v>
      </c>
      <c r="K282" s="41"/>
      <c r="L282" s="72"/>
      <c r="N282" s="33"/>
    </row>
    <row r="283" spans="1:14" ht="30">
      <c r="A283" s="72"/>
      <c r="B283" s="277"/>
      <c r="C283" s="263"/>
      <c r="D283" s="265"/>
      <c r="E283" s="260"/>
      <c r="F283" s="72" t="s">
        <v>54</v>
      </c>
      <c r="G283" s="72" t="s">
        <v>70</v>
      </c>
      <c r="H283" s="72">
        <v>1</v>
      </c>
      <c r="I283" s="41">
        <v>8000000</v>
      </c>
      <c r="J283" s="41">
        <v>8000000</v>
      </c>
      <c r="K283" s="41"/>
      <c r="L283" s="72"/>
      <c r="N283" s="33"/>
    </row>
    <row r="284" spans="1:14">
      <c r="A284" s="72"/>
      <c r="B284" s="277"/>
      <c r="C284" s="262" t="s">
        <v>78</v>
      </c>
      <c r="D284" s="264" t="s">
        <v>310</v>
      </c>
      <c r="E284" s="261">
        <v>44358</v>
      </c>
      <c r="F284" s="72" t="s">
        <v>42</v>
      </c>
      <c r="G284" s="72"/>
      <c r="H284" s="72">
        <v>4</v>
      </c>
      <c r="I284" s="41">
        <f>8668000/4</f>
        <v>2167000</v>
      </c>
      <c r="J284" s="67">
        <f t="shared" ref="J284:J286" si="32">I284*H284</f>
        <v>8668000</v>
      </c>
      <c r="K284" s="41"/>
      <c r="L284" s="72"/>
      <c r="N284" s="33"/>
    </row>
    <row r="285" spans="1:14">
      <c r="A285" s="72"/>
      <c r="B285" s="277"/>
      <c r="C285" s="273"/>
      <c r="D285" s="274"/>
      <c r="E285" s="259"/>
      <c r="F285" s="72" t="s">
        <v>151</v>
      </c>
      <c r="G285" s="72"/>
      <c r="H285" s="72">
        <v>1</v>
      </c>
      <c r="I285" s="41">
        <v>4895000</v>
      </c>
      <c r="J285" s="67">
        <f t="shared" si="32"/>
        <v>4895000</v>
      </c>
      <c r="K285" s="41"/>
      <c r="L285" s="72"/>
      <c r="N285" s="33"/>
    </row>
    <row r="286" spans="1:14">
      <c r="A286" s="72"/>
      <c r="B286" s="277"/>
      <c r="C286" s="273"/>
      <c r="D286" s="274"/>
      <c r="E286" s="259"/>
      <c r="F286" s="72" t="s">
        <v>46</v>
      </c>
      <c r="G286" s="72"/>
      <c r="H286" s="72">
        <v>4</v>
      </c>
      <c r="I286" s="41">
        <v>1980000</v>
      </c>
      <c r="J286" s="67">
        <f t="shared" si="32"/>
        <v>7920000</v>
      </c>
      <c r="K286" s="41"/>
      <c r="L286" s="72"/>
      <c r="N286" s="33"/>
    </row>
    <row r="287" spans="1:14">
      <c r="A287" s="72"/>
      <c r="B287" s="277"/>
      <c r="C287" s="273"/>
      <c r="D287" s="274"/>
      <c r="E287" s="259"/>
      <c r="F287" s="72" t="s">
        <v>152</v>
      </c>
      <c r="G287" s="72" t="s">
        <v>82</v>
      </c>
      <c r="H287" s="72">
        <v>75</v>
      </c>
      <c r="I287" s="41">
        <v>143000</v>
      </c>
      <c r="J287" s="41">
        <f>I287*H287</f>
        <v>10725000</v>
      </c>
      <c r="K287" s="41"/>
      <c r="L287" s="72"/>
      <c r="N287" s="33"/>
    </row>
    <row r="288" spans="1:14">
      <c r="A288" s="72"/>
      <c r="B288" s="277"/>
      <c r="C288" s="273"/>
      <c r="D288" s="274"/>
      <c r="E288" s="259"/>
      <c r="F288" s="72" t="s">
        <v>153</v>
      </c>
      <c r="G288" s="72" t="s">
        <v>311</v>
      </c>
      <c r="H288" s="72">
        <v>1</v>
      </c>
      <c r="I288" s="41">
        <f>6000000-192000</f>
        <v>5808000</v>
      </c>
      <c r="J288" s="41">
        <f>I288*H288</f>
        <v>5808000</v>
      </c>
      <c r="K288" s="41"/>
      <c r="L288" s="72"/>
      <c r="N288" s="33"/>
    </row>
    <row r="289" spans="1:14">
      <c r="A289" s="72"/>
      <c r="B289" s="277"/>
      <c r="C289" s="273"/>
      <c r="D289" s="274"/>
      <c r="E289" s="259"/>
      <c r="F289" s="72" t="s">
        <v>85</v>
      </c>
      <c r="G289" s="72" t="s">
        <v>86</v>
      </c>
      <c r="H289" s="72">
        <v>2</v>
      </c>
      <c r="I289" s="41">
        <v>3300000</v>
      </c>
      <c r="J289" s="41">
        <f>H289*I289</f>
        <v>6600000</v>
      </c>
      <c r="K289" s="41"/>
      <c r="L289" s="72"/>
      <c r="N289" s="33"/>
    </row>
    <row r="290" spans="1:14">
      <c r="A290" s="72"/>
      <c r="B290" s="277"/>
      <c r="C290" s="273"/>
      <c r="D290" s="274"/>
      <c r="E290" s="259"/>
      <c r="F290" s="257" t="s">
        <v>87</v>
      </c>
      <c r="G290" s="68" t="s">
        <v>88</v>
      </c>
      <c r="H290" s="68">
        <v>2</v>
      </c>
      <c r="I290" s="31">
        <v>3450000</v>
      </c>
      <c r="J290" s="67">
        <f>I290*H290</f>
        <v>6900000</v>
      </c>
      <c r="K290" s="41">
        <v>900000</v>
      </c>
      <c r="L290" s="72"/>
      <c r="N290" s="33"/>
    </row>
    <row r="291" spans="1:14">
      <c r="A291" s="72"/>
      <c r="B291" s="277"/>
      <c r="C291" s="273"/>
      <c r="D291" s="274"/>
      <c r="E291" s="259"/>
      <c r="F291" s="257"/>
      <c r="G291" s="68" t="s">
        <v>89</v>
      </c>
      <c r="H291" s="68">
        <v>2</v>
      </c>
      <c r="I291" s="31">
        <v>3450000</v>
      </c>
      <c r="J291" s="67">
        <f t="shared" ref="J291" si="33">I291*H291</f>
        <v>6900000</v>
      </c>
      <c r="K291" s="41"/>
      <c r="L291" s="72"/>
      <c r="N291" s="33"/>
    </row>
    <row r="292" spans="1:14">
      <c r="A292" s="72"/>
      <c r="B292" s="277"/>
      <c r="C292" s="263"/>
      <c r="D292" s="265"/>
      <c r="E292" s="260"/>
      <c r="F292" s="68" t="s">
        <v>90</v>
      </c>
      <c r="G292" s="68" t="s">
        <v>91</v>
      </c>
      <c r="H292" s="68">
        <v>2</v>
      </c>
      <c r="I292" s="31">
        <f>4933000/2</f>
        <v>2466500</v>
      </c>
      <c r="J292" s="67">
        <f>I292*H292</f>
        <v>4933000</v>
      </c>
      <c r="K292" s="41"/>
      <c r="L292" s="72"/>
      <c r="N292" s="33"/>
    </row>
    <row r="293" spans="1:14">
      <c r="A293" s="72"/>
      <c r="B293" s="277"/>
      <c r="C293" s="262" t="s">
        <v>78</v>
      </c>
      <c r="D293" s="264" t="s">
        <v>312</v>
      </c>
      <c r="E293" s="261">
        <v>44327</v>
      </c>
      <c r="F293" s="72" t="s">
        <v>94</v>
      </c>
      <c r="G293" s="72"/>
      <c r="H293" s="72">
        <v>1</v>
      </c>
      <c r="I293" s="41">
        <v>3164260</v>
      </c>
      <c r="J293" s="67">
        <f t="shared" ref="J293:J295" si="34">I293*H293</f>
        <v>3164260</v>
      </c>
      <c r="K293" s="41"/>
      <c r="L293" s="72"/>
      <c r="N293" s="33"/>
    </row>
    <row r="294" spans="1:14" ht="45">
      <c r="A294" s="72"/>
      <c r="B294" s="277"/>
      <c r="C294" s="263"/>
      <c r="D294" s="265"/>
      <c r="E294" s="260"/>
      <c r="F294" s="72" t="s">
        <v>96</v>
      </c>
      <c r="G294" s="72" t="s">
        <v>97</v>
      </c>
      <c r="H294" s="72">
        <v>1</v>
      </c>
      <c r="I294" s="41">
        <v>6889850</v>
      </c>
      <c r="J294" s="67">
        <f t="shared" si="34"/>
        <v>6889850</v>
      </c>
      <c r="K294" s="41"/>
      <c r="L294" s="72"/>
      <c r="N294" s="33"/>
    </row>
    <row r="295" spans="1:14">
      <c r="A295" s="72"/>
      <c r="B295" s="277"/>
      <c r="C295" s="72" t="s">
        <v>78</v>
      </c>
      <c r="D295" t="s">
        <v>313</v>
      </c>
      <c r="E295" s="69">
        <v>44327</v>
      </c>
      <c r="F295" s="72" t="s">
        <v>30</v>
      </c>
      <c r="G295" s="72"/>
      <c r="H295" s="72">
        <v>2</v>
      </c>
      <c r="I295" s="41">
        <v>4974950</v>
      </c>
      <c r="J295" s="41">
        <f t="shared" si="34"/>
        <v>9949900</v>
      </c>
      <c r="K295" s="41">
        <v>600000</v>
      </c>
      <c r="L295" s="72"/>
      <c r="N295" s="33"/>
    </row>
    <row r="296" spans="1:14">
      <c r="A296" s="72"/>
      <c r="B296" s="277"/>
      <c r="C296" s="68" t="s">
        <v>104</v>
      </c>
      <c r="D296" s="74"/>
      <c r="E296" s="68"/>
      <c r="F296" s="68" t="s">
        <v>105</v>
      </c>
      <c r="G296" s="68" t="s">
        <v>106</v>
      </c>
      <c r="H296" s="68">
        <v>1</v>
      </c>
      <c r="I296" s="31">
        <v>3500000</v>
      </c>
      <c r="J296" s="31">
        <f t="shared" ref="J296:J297" si="35">I296</f>
        <v>3500000</v>
      </c>
      <c r="K296" s="41"/>
      <c r="L296" s="72"/>
      <c r="N296" s="33"/>
    </row>
    <row r="297" spans="1:14" ht="30">
      <c r="A297" s="72"/>
      <c r="B297" s="277"/>
      <c r="C297" s="68" t="s">
        <v>109</v>
      </c>
      <c r="D297" s="74"/>
      <c r="E297" s="68"/>
      <c r="F297" s="68" t="s">
        <v>107</v>
      </c>
      <c r="G297" s="68"/>
      <c r="H297" s="68">
        <v>1</v>
      </c>
      <c r="I297" s="31">
        <v>995000</v>
      </c>
      <c r="J297" s="67">
        <f t="shared" si="35"/>
        <v>995000</v>
      </c>
      <c r="K297" s="41"/>
      <c r="L297" s="72"/>
      <c r="N297" s="33"/>
    </row>
    <row r="298" spans="1:14">
      <c r="A298" s="72"/>
      <c r="B298" s="277"/>
      <c r="C298" s="68" t="s">
        <v>110</v>
      </c>
      <c r="D298" s="74"/>
      <c r="E298" s="68"/>
      <c r="F298" s="68" t="s">
        <v>108</v>
      </c>
      <c r="G298" s="68"/>
      <c r="H298" s="68">
        <v>2</v>
      </c>
      <c r="I298" s="31">
        <v>600000</v>
      </c>
      <c r="J298" s="67">
        <f>I298*H298</f>
        <v>1200000</v>
      </c>
      <c r="K298" s="41"/>
      <c r="L298" s="72"/>
      <c r="N298" s="33"/>
    </row>
    <row r="299" spans="1:14">
      <c r="A299" s="72"/>
      <c r="B299" s="277"/>
      <c r="C299" s="68"/>
      <c r="D299" s="74"/>
      <c r="E299" s="68"/>
      <c r="F299" s="68" t="s">
        <v>170</v>
      </c>
      <c r="G299" s="68" t="s">
        <v>255</v>
      </c>
      <c r="H299" s="68">
        <v>1</v>
      </c>
      <c r="I299" s="31">
        <v>5000000</v>
      </c>
      <c r="J299" s="31">
        <f>I299*H299</f>
        <v>5000000</v>
      </c>
      <c r="K299" s="41"/>
      <c r="L299" s="72"/>
      <c r="N299" s="33"/>
    </row>
    <row r="300" spans="1:14">
      <c r="A300" s="72"/>
      <c r="B300" s="277"/>
      <c r="C300" s="72" t="s">
        <v>316</v>
      </c>
      <c r="D300" s="78"/>
      <c r="E300" s="72"/>
      <c r="F300" s="72" t="s">
        <v>317</v>
      </c>
      <c r="G300" s="72"/>
      <c r="H300" s="72">
        <v>1</v>
      </c>
      <c r="I300" s="41">
        <v>13550000</v>
      </c>
      <c r="J300" s="41">
        <f>I300</f>
        <v>13550000</v>
      </c>
      <c r="K300" s="41"/>
      <c r="L300" s="72"/>
      <c r="N300" s="33"/>
    </row>
    <row r="301" spans="1:14">
      <c r="A301" s="72"/>
      <c r="B301" s="277"/>
      <c r="C301" s="253" t="s">
        <v>314</v>
      </c>
      <c r="D301" s="78"/>
      <c r="E301" s="72"/>
      <c r="F301" s="72" t="s">
        <v>315</v>
      </c>
      <c r="G301" s="72"/>
      <c r="H301" s="72">
        <v>1</v>
      </c>
      <c r="I301" s="41">
        <v>79824054</v>
      </c>
      <c r="J301" s="41">
        <f>I301*H301</f>
        <v>79824054</v>
      </c>
      <c r="K301" s="41">
        <f>82874054-79824054</f>
        <v>3050000</v>
      </c>
      <c r="L301" s="72"/>
      <c r="N301" s="33"/>
    </row>
    <row r="302" spans="1:14">
      <c r="A302" s="72"/>
      <c r="B302" s="277"/>
      <c r="C302" s="254"/>
      <c r="D302" s="78"/>
      <c r="E302" s="72"/>
      <c r="F302" s="72" t="s">
        <v>318</v>
      </c>
      <c r="G302" s="72"/>
      <c r="H302" s="72">
        <v>1</v>
      </c>
      <c r="I302" s="41">
        <v>65032973</v>
      </c>
      <c r="J302" s="41">
        <f>I302</f>
        <v>65032973</v>
      </c>
      <c r="K302" s="41">
        <f>68032973-65032973</f>
        <v>3000000</v>
      </c>
      <c r="L302" s="72"/>
      <c r="N302" s="33">
        <f>N304-30000000-N303</f>
        <v>267585037</v>
      </c>
    </row>
    <row r="303" spans="1:14">
      <c r="A303" s="72"/>
      <c r="B303" s="277"/>
      <c r="C303" s="254"/>
      <c r="D303" s="78"/>
      <c r="E303" s="72"/>
      <c r="F303" s="72" t="s">
        <v>319</v>
      </c>
      <c r="G303" s="72"/>
      <c r="H303" s="72">
        <v>1</v>
      </c>
      <c r="I303" s="41">
        <v>56300000</v>
      </c>
      <c r="J303" s="41">
        <f>I303</f>
        <v>56300000</v>
      </c>
      <c r="K303" s="41">
        <v>2600000</v>
      </c>
      <c r="L303" s="72"/>
      <c r="M303" s="24">
        <f>56300000*3</f>
        <v>168900000</v>
      </c>
      <c r="N303" s="33">
        <f>K303+J303</f>
        <v>58900000</v>
      </c>
    </row>
    <row r="304" spans="1:14">
      <c r="A304" s="72"/>
      <c r="B304" s="277"/>
      <c r="C304" s="254"/>
      <c r="D304" s="78"/>
      <c r="E304" s="72"/>
      <c r="F304" s="72" t="s">
        <v>320</v>
      </c>
      <c r="G304" s="72"/>
      <c r="H304" s="72">
        <v>1</v>
      </c>
      <c r="I304" s="41">
        <v>56300000</v>
      </c>
      <c r="J304" s="41">
        <f t="shared" ref="J304:J307" si="36">I304</f>
        <v>56300000</v>
      </c>
      <c r="K304" s="41">
        <v>2600000</v>
      </c>
      <c r="L304" s="72"/>
      <c r="M304" s="24">
        <f>M303-176700000</f>
        <v>-7800000</v>
      </c>
      <c r="N304" s="33">
        <v>356485037</v>
      </c>
    </row>
    <row r="305" spans="1:14">
      <c r="A305" s="72"/>
      <c r="B305" s="277"/>
      <c r="C305" s="254"/>
      <c r="D305" s="78"/>
      <c r="E305" s="72"/>
      <c r="F305" s="72" t="s">
        <v>321</v>
      </c>
      <c r="G305" s="72"/>
      <c r="H305" s="72">
        <v>1</v>
      </c>
      <c r="I305" s="41">
        <v>56300000</v>
      </c>
      <c r="J305" s="41">
        <f t="shared" si="36"/>
        <v>56300000</v>
      </c>
      <c r="K305" s="41">
        <v>2600000</v>
      </c>
      <c r="L305" s="72"/>
      <c r="M305" s="24">
        <f>M304/3</f>
        <v>-2600000</v>
      </c>
      <c r="N305" s="33"/>
    </row>
    <row r="306" spans="1:14">
      <c r="A306" s="72"/>
      <c r="B306" s="277"/>
      <c r="C306" s="254"/>
      <c r="D306" s="78"/>
      <c r="E306" s="72"/>
      <c r="F306" s="72" t="s">
        <v>322</v>
      </c>
      <c r="G306" s="72"/>
      <c r="H306" s="72">
        <v>1</v>
      </c>
      <c r="I306" s="41">
        <v>58275000</v>
      </c>
      <c r="J306" s="41">
        <f t="shared" si="36"/>
        <v>58275000</v>
      </c>
      <c r="K306" s="41">
        <v>3000000</v>
      </c>
      <c r="L306" s="72"/>
      <c r="N306" s="33"/>
    </row>
    <row r="307" spans="1:14">
      <c r="A307" s="75"/>
      <c r="B307" s="278"/>
      <c r="C307" s="255"/>
      <c r="D307" s="77"/>
      <c r="E307" s="75"/>
      <c r="F307" s="75" t="s">
        <v>323</v>
      </c>
      <c r="G307" s="75"/>
      <c r="H307" s="75">
        <v>1</v>
      </c>
      <c r="I307" s="63">
        <v>69256657</v>
      </c>
      <c r="J307" s="63">
        <f t="shared" si="36"/>
        <v>69256657</v>
      </c>
      <c r="K307" s="63">
        <v>3000000</v>
      </c>
      <c r="L307" s="75"/>
      <c r="N307" s="33"/>
    </row>
    <row r="308" spans="1:14" s="40" customFormat="1">
      <c r="A308" s="14"/>
      <c r="B308" s="14"/>
      <c r="C308" s="14"/>
      <c r="D308" s="8"/>
      <c r="E308" s="14"/>
      <c r="F308" s="14"/>
      <c r="G308" s="14"/>
      <c r="H308" s="14"/>
      <c r="I308" s="37"/>
      <c r="J308" s="38">
        <f>SUM(J272:J307)</f>
        <v>614516694</v>
      </c>
      <c r="K308" s="38">
        <f>SUM(K272:K307)</f>
        <v>22200000</v>
      </c>
      <c r="L308" s="39">
        <f>K308+J308</f>
        <v>636716694</v>
      </c>
      <c r="M308" s="46" t="e">
        <f>L308-'BM FIX'!#REF!</f>
        <v>#REF!</v>
      </c>
      <c r="N308" s="46"/>
    </row>
    <row r="309" spans="1:14">
      <c r="A309" s="72"/>
      <c r="B309" s="276" t="s">
        <v>324</v>
      </c>
      <c r="C309" s="275" t="s">
        <v>9</v>
      </c>
      <c r="D309" s="275" t="s">
        <v>328</v>
      </c>
      <c r="E309" s="258">
        <v>44534</v>
      </c>
      <c r="F309" s="72" t="s">
        <v>73</v>
      </c>
      <c r="G309" s="72" t="s">
        <v>232</v>
      </c>
      <c r="H309" s="72">
        <v>1</v>
      </c>
      <c r="I309" s="41">
        <v>11580000</v>
      </c>
      <c r="J309" s="41">
        <f>I309*H309</f>
        <v>11580000</v>
      </c>
      <c r="K309" s="41">
        <v>900000</v>
      </c>
      <c r="L309" s="72"/>
      <c r="N309" s="33"/>
    </row>
    <row r="310" spans="1:14">
      <c r="A310" s="72"/>
      <c r="B310" s="277"/>
      <c r="C310" s="254"/>
      <c r="D310" s="254"/>
      <c r="E310" s="259"/>
      <c r="F310" s="253" t="s">
        <v>33</v>
      </c>
      <c r="G310" s="72" t="s">
        <v>325</v>
      </c>
      <c r="H310" s="72">
        <v>1</v>
      </c>
      <c r="I310" s="41">
        <v>8700000</v>
      </c>
      <c r="J310" s="41">
        <f>H310*I310</f>
        <v>8700000</v>
      </c>
      <c r="K310" s="41"/>
      <c r="L310" s="72"/>
      <c r="N310" s="33"/>
    </row>
    <row r="311" spans="1:14">
      <c r="A311" s="72"/>
      <c r="B311" s="277"/>
      <c r="C311" s="254"/>
      <c r="D311" s="254"/>
      <c r="E311" s="259"/>
      <c r="F311" s="266"/>
      <c r="G311" s="72" t="s">
        <v>326</v>
      </c>
      <c r="H311" s="72">
        <v>1</v>
      </c>
      <c r="I311" s="41">
        <v>8950000</v>
      </c>
      <c r="J311" s="41">
        <f t="shared" ref="J311:J324" si="37">H311*I311</f>
        <v>8950000</v>
      </c>
      <c r="K311" s="41"/>
      <c r="L311" s="72"/>
      <c r="N311" s="33"/>
    </row>
    <row r="312" spans="1:14">
      <c r="A312" s="72"/>
      <c r="B312" s="277"/>
      <c r="C312" s="254"/>
      <c r="D312" s="254"/>
      <c r="E312" s="259"/>
      <c r="F312" s="72" t="s">
        <v>37</v>
      </c>
      <c r="G312" s="72" t="s">
        <v>137</v>
      </c>
      <c r="H312" s="72">
        <v>2</v>
      </c>
      <c r="I312" s="41">
        <v>1800000</v>
      </c>
      <c r="J312" s="41">
        <f t="shared" si="37"/>
        <v>3600000</v>
      </c>
      <c r="K312" s="41"/>
      <c r="L312" s="72"/>
      <c r="N312" s="33"/>
    </row>
    <row r="313" spans="1:14">
      <c r="A313" s="72"/>
      <c r="B313" s="277"/>
      <c r="C313" s="266"/>
      <c r="D313" s="266"/>
      <c r="E313" s="260"/>
      <c r="F313" s="72" t="s">
        <v>35</v>
      </c>
      <c r="G313" s="72" t="s">
        <v>139</v>
      </c>
      <c r="H313" s="72">
        <v>1</v>
      </c>
      <c r="I313" s="41">
        <v>6950000</v>
      </c>
      <c r="J313" s="41">
        <f t="shared" si="37"/>
        <v>6950000</v>
      </c>
      <c r="K313" s="41"/>
      <c r="L313" s="72"/>
      <c r="N313" s="33"/>
    </row>
    <row r="314" spans="1:14">
      <c r="A314" s="72"/>
      <c r="B314" s="277"/>
      <c r="C314" s="257" t="s">
        <v>60</v>
      </c>
      <c r="D314" s="257" t="s">
        <v>327</v>
      </c>
      <c r="E314" s="269">
        <v>44478</v>
      </c>
      <c r="F314" s="72" t="s">
        <v>62</v>
      </c>
      <c r="G314" s="72" t="s">
        <v>127</v>
      </c>
      <c r="H314" s="72">
        <v>1</v>
      </c>
      <c r="I314" s="41">
        <v>300000</v>
      </c>
      <c r="J314" s="41">
        <f t="shared" si="37"/>
        <v>300000</v>
      </c>
      <c r="K314" s="41"/>
      <c r="L314" s="72"/>
      <c r="N314" s="33"/>
    </row>
    <row r="315" spans="1:14">
      <c r="A315" s="72"/>
      <c r="B315" s="277"/>
      <c r="C315" s="257"/>
      <c r="D315" s="257"/>
      <c r="E315" s="269"/>
      <c r="F315" s="72" t="s">
        <v>128</v>
      </c>
      <c r="G315" s="72"/>
      <c r="H315" s="72">
        <v>1</v>
      </c>
      <c r="I315" s="41">
        <v>1200000</v>
      </c>
      <c r="J315" s="41">
        <f t="shared" si="37"/>
        <v>1200000</v>
      </c>
      <c r="K315" s="41"/>
      <c r="L315" s="72"/>
      <c r="N315" s="33"/>
    </row>
    <row r="316" spans="1:14">
      <c r="A316" s="72"/>
      <c r="B316" s="277"/>
      <c r="C316" s="257"/>
      <c r="D316" s="257"/>
      <c r="E316" s="269"/>
      <c r="F316" s="72" t="s">
        <v>65</v>
      </c>
      <c r="G316" s="72"/>
      <c r="H316" s="72">
        <v>1</v>
      </c>
      <c r="I316" s="41">
        <v>700000</v>
      </c>
      <c r="J316" s="41">
        <f t="shared" si="37"/>
        <v>700000</v>
      </c>
      <c r="K316" s="41"/>
      <c r="L316" s="72"/>
      <c r="N316" s="33"/>
    </row>
    <row r="317" spans="1:14">
      <c r="A317" s="72"/>
      <c r="B317" s="277"/>
      <c r="C317" s="257"/>
      <c r="D317" s="257"/>
      <c r="E317" s="269"/>
      <c r="F317" s="72" t="s">
        <v>130</v>
      </c>
      <c r="G317" s="72"/>
      <c r="H317" s="72">
        <v>1</v>
      </c>
      <c r="I317" s="41">
        <v>500000</v>
      </c>
      <c r="J317" s="41">
        <f t="shared" si="37"/>
        <v>500000</v>
      </c>
      <c r="K317" s="41"/>
      <c r="L317" s="72"/>
      <c r="N317" s="33"/>
    </row>
    <row r="318" spans="1:14">
      <c r="A318" s="81"/>
      <c r="B318" s="277"/>
      <c r="C318" s="257"/>
      <c r="D318" s="257"/>
      <c r="E318" s="269"/>
      <c r="F318" s="81" t="s">
        <v>276</v>
      </c>
      <c r="G318" s="81"/>
      <c r="H318" s="81">
        <v>1</v>
      </c>
      <c r="I318" s="41">
        <v>700000</v>
      </c>
      <c r="J318" s="41">
        <f t="shared" si="37"/>
        <v>700000</v>
      </c>
      <c r="K318" s="41"/>
      <c r="L318" s="81"/>
      <c r="N318" s="33"/>
    </row>
    <row r="319" spans="1:14">
      <c r="A319" s="81"/>
      <c r="B319" s="277"/>
      <c r="C319" s="257"/>
      <c r="D319" s="257"/>
      <c r="E319" s="269"/>
      <c r="F319" s="81" t="s">
        <v>148</v>
      </c>
      <c r="G319" s="81"/>
      <c r="H319" s="81">
        <v>2</v>
      </c>
      <c r="I319" s="41">
        <v>600000</v>
      </c>
      <c r="J319" s="41">
        <f t="shared" si="37"/>
        <v>1200000</v>
      </c>
      <c r="K319" s="41"/>
      <c r="L319" s="81"/>
      <c r="N319" s="33"/>
    </row>
    <row r="320" spans="1:14" ht="30">
      <c r="A320" s="72"/>
      <c r="B320" s="277"/>
      <c r="C320" s="79" t="s">
        <v>140</v>
      </c>
      <c r="D320" s="79" t="s">
        <v>329</v>
      </c>
      <c r="E320" s="42">
        <v>44462</v>
      </c>
      <c r="F320" s="72" t="s">
        <v>20</v>
      </c>
      <c r="G320" s="72" t="s">
        <v>221</v>
      </c>
      <c r="H320" s="72">
        <v>1</v>
      </c>
      <c r="I320" s="41">
        <v>80646000</v>
      </c>
      <c r="J320" s="41">
        <f t="shared" si="37"/>
        <v>80646000</v>
      </c>
      <c r="K320" s="41">
        <v>900000</v>
      </c>
      <c r="L320" s="72"/>
      <c r="N320" s="33"/>
    </row>
    <row r="321" spans="1:14">
      <c r="A321" s="72"/>
      <c r="B321" s="277"/>
      <c r="C321" s="257" t="s">
        <v>78</v>
      </c>
      <c r="D321" s="257" t="s">
        <v>330</v>
      </c>
      <c r="E321" s="269">
        <v>44358</v>
      </c>
      <c r="F321" s="72" t="s">
        <v>289</v>
      </c>
      <c r="G321" s="72"/>
      <c r="H321" s="72">
        <v>4</v>
      </c>
      <c r="I321" s="41">
        <v>2117500</v>
      </c>
      <c r="J321" s="41">
        <f t="shared" si="37"/>
        <v>8470000</v>
      </c>
      <c r="K321" s="41"/>
      <c r="L321" s="72"/>
      <c r="N321" s="33"/>
    </row>
    <row r="322" spans="1:14">
      <c r="A322" s="72"/>
      <c r="B322" s="277"/>
      <c r="C322" s="257"/>
      <c r="D322" s="257"/>
      <c r="E322" s="269"/>
      <c r="F322" s="72" t="s">
        <v>151</v>
      </c>
      <c r="G322" s="72"/>
      <c r="H322" s="72">
        <v>1</v>
      </c>
      <c r="I322" s="41">
        <v>4675000</v>
      </c>
      <c r="J322" s="41">
        <f t="shared" si="37"/>
        <v>4675000</v>
      </c>
      <c r="K322" s="41"/>
      <c r="L322" s="72"/>
      <c r="N322" s="33"/>
    </row>
    <row r="323" spans="1:14">
      <c r="A323" s="72"/>
      <c r="B323" s="277"/>
      <c r="C323" s="257"/>
      <c r="D323" s="257"/>
      <c r="E323" s="269"/>
      <c r="F323" s="72" t="s">
        <v>290</v>
      </c>
      <c r="G323" s="72"/>
      <c r="H323" s="72">
        <v>4</v>
      </c>
      <c r="I323" s="41">
        <v>1947000</v>
      </c>
      <c r="J323" s="41">
        <f t="shared" si="37"/>
        <v>7788000</v>
      </c>
      <c r="K323" s="41"/>
      <c r="L323" s="72"/>
      <c r="N323" s="33"/>
    </row>
    <row r="324" spans="1:14">
      <c r="A324" s="72"/>
      <c r="B324" s="277"/>
      <c r="C324" s="257"/>
      <c r="D324" s="257"/>
      <c r="E324" s="269"/>
      <c r="F324" s="72" t="s">
        <v>152</v>
      </c>
      <c r="G324" s="72" t="s">
        <v>82</v>
      </c>
      <c r="H324" s="72">
        <v>50</v>
      </c>
      <c r="I324" s="41">
        <v>143000</v>
      </c>
      <c r="J324" s="41">
        <f t="shared" si="37"/>
        <v>7150000</v>
      </c>
      <c r="K324" s="41"/>
      <c r="L324" s="72"/>
      <c r="M324" s="24">
        <f>19666000</f>
        <v>19666000</v>
      </c>
      <c r="N324" s="33"/>
    </row>
    <row r="325" spans="1:14">
      <c r="A325" s="72"/>
      <c r="B325" s="277"/>
      <c r="C325" s="257"/>
      <c r="D325" s="257"/>
      <c r="E325" s="269"/>
      <c r="F325" s="72" t="s">
        <v>331</v>
      </c>
      <c r="G325" s="72" t="s">
        <v>311</v>
      </c>
      <c r="H325" s="72">
        <v>1</v>
      </c>
      <c r="I325" s="41">
        <v>6000000</v>
      </c>
      <c r="J325" s="41">
        <v>5800000</v>
      </c>
      <c r="K325" s="41"/>
      <c r="L325" s="72"/>
      <c r="M325" s="33">
        <f>M324-J327-J328-J329</f>
        <v>900000</v>
      </c>
      <c r="N325" s="33"/>
    </row>
    <row r="326" spans="1:14">
      <c r="A326" s="72"/>
      <c r="B326" s="277"/>
      <c r="C326" s="257"/>
      <c r="D326" s="257"/>
      <c r="E326" s="269"/>
      <c r="F326" s="72" t="s">
        <v>292</v>
      </c>
      <c r="G326" s="72" t="s">
        <v>86</v>
      </c>
      <c r="H326" s="72">
        <v>1</v>
      </c>
      <c r="I326" s="41">
        <v>3500000</v>
      </c>
      <c r="J326" s="41">
        <v>3374000</v>
      </c>
      <c r="K326" s="41"/>
      <c r="L326" s="72"/>
      <c r="N326" s="33"/>
    </row>
    <row r="327" spans="1:14">
      <c r="A327" s="72"/>
      <c r="B327" s="277"/>
      <c r="C327" s="257"/>
      <c r="D327" s="257"/>
      <c r="E327" s="269"/>
      <c r="F327" s="257" t="s">
        <v>87</v>
      </c>
      <c r="G327" s="79" t="s">
        <v>88</v>
      </c>
      <c r="H327" s="79">
        <v>2</v>
      </c>
      <c r="I327" s="31">
        <v>3450000</v>
      </c>
      <c r="J327" s="67">
        <f>I327*H327</f>
        <v>6900000</v>
      </c>
      <c r="K327" s="41">
        <v>900000</v>
      </c>
      <c r="L327" s="72"/>
      <c r="N327" s="33"/>
    </row>
    <row r="328" spans="1:14">
      <c r="A328" s="72"/>
      <c r="B328" s="277"/>
      <c r="C328" s="257"/>
      <c r="D328" s="257"/>
      <c r="E328" s="269"/>
      <c r="F328" s="257"/>
      <c r="G328" s="79" t="s">
        <v>89</v>
      </c>
      <c r="H328" s="79">
        <v>2</v>
      </c>
      <c r="I328" s="31">
        <v>3450000</v>
      </c>
      <c r="J328" s="67">
        <f t="shared" ref="J328" si="38">I328*H328</f>
        <v>6900000</v>
      </c>
      <c r="K328" s="41"/>
      <c r="L328" s="72"/>
      <c r="N328" s="33"/>
    </row>
    <row r="329" spans="1:14">
      <c r="A329" s="72"/>
      <c r="B329" s="277"/>
      <c r="C329" s="257"/>
      <c r="D329" s="257"/>
      <c r="E329" s="269"/>
      <c r="F329" s="79" t="s">
        <v>90</v>
      </c>
      <c r="G329" s="79" t="s">
        <v>91</v>
      </c>
      <c r="H329" s="79">
        <v>2</v>
      </c>
      <c r="I329" s="31">
        <f>4966000/2</f>
        <v>2483000</v>
      </c>
      <c r="J329" s="67">
        <f>I329*H329</f>
        <v>4966000</v>
      </c>
      <c r="K329" s="41"/>
      <c r="L329" s="72"/>
      <c r="N329" s="33"/>
    </row>
    <row r="330" spans="1:14">
      <c r="A330" s="72"/>
      <c r="B330" s="277"/>
      <c r="C330" s="257" t="s">
        <v>78</v>
      </c>
      <c r="D330" s="257" t="s">
        <v>332</v>
      </c>
      <c r="E330" s="269">
        <v>44358</v>
      </c>
      <c r="F330" s="72" t="s">
        <v>94</v>
      </c>
      <c r="G330" s="72"/>
      <c r="H330" s="72">
        <v>1</v>
      </c>
      <c r="I330" s="41">
        <v>4846050</v>
      </c>
      <c r="J330" s="41">
        <f>I330</f>
        <v>4846050</v>
      </c>
      <c r="K330" s="41"/>
      <c r="L330" s="72"/>
      <c r="N330" s="33"/>
    </row>
    <row r="331" spans="1:14" ht="45">
      <c r="A331" s="72"/>
      <c r="B331" s="277"/>
      <c r="C331" s="257"/>
      <c r="D331" s="257"/>
      <c r="E331" s="269"/>
      <c r="F331" s="72" t="s">
        <v>96</v>
      </c>
      <c r="G331" s="72" t="s">
        <v>97</v>
      </c>
      <c r="H331" s="72">
        <v>1</v>
      </c>
      <c r="I331" s="41">
        <v>6889850</v>
      </c>
      <c r="J331" s="41">
        <f>I331</f>
        <v>6889850</v>
      </c>
      <c r="K331" s="41"/>
      <c r="L331" s="72"/>
      <c r="N331" s="33"/>
    </row>
    <row r="332" spans="1:14">
      <c r="A332" s="72"/>
      <c r="B332" s="277"/>
      <c r="C332" s="79" t="s">
        <v>78</v>
      </c>
      <c r="D332" s="79" t="s">
        <v>333</v>
      </c>
      <c r="E332" s="79"/>
      <c r="F332" s="72" t="s">
        <v>30</v>
      </c>
      <c r="G332" s="72"/>
      <c r="H332" s="72">
        <v>2</v>
      </c>
      <c r="I332" s="41">
        <f>9949900/2</f>
        <v>4974950</v>
      </c>
      <c r="J332" s="41">
        <f>I332*H332</f>
        <v>9949900</v>
      </c>
      <c r="K332" s="41">
        <v>600000</v>
      </c>
      <c r="L332" s="72"/>
      <c r="N332" s="33"/>
    </row>
    <row r="333" spans="1:14" ht="30">
      <c r="A333" s="72"/>
      <c r="B333" s="277"/>
      <c r="C333" s="79"/>
      <c r="D333" s="86"/>
      <c r="E333" s="79"/>
      <c r="F333" s="72" t="s">
        <v>280</v>
      </c>
      <c r="G333" s="72" t="s">
        <v>70</v>
      </c>
      <c r="H333" s="72">
        <v>1</v>
      </c>
      <c r="I333" s="41">
        <v>8000000</v>
      </c>
      <c r="J333" s="41">
        <f>I333</f>
        <v>8000000</v>
      </c>
      <c r="K333" s="41"/>
      <c r="L333" s="72"/>
      <c r="N333" s="33"/>
    </row>
    <row r="334" spans="1:14">
      <c r="A334" s="72"/>
      <c r="B334" s="277"/>
      <c r="C334" s="79"/>
      <c r="D334" s="86"/>
      <c r="E334" s="79"/>
      <c r="F334" s="72" t="s">
        <v>159</v>
      </c>
      <c r="G334" s="72"/>
      <c r="H334" s="72">
        <v>1</v>
      </c>
      <c r="I334" s="41">
        <v>5340000</v>
      </c>
      <c r="J334" s="41">
        <f>I334</f>
        <v>5340000</v>
      </c>
      <c r="K334" s="41"/>
      <c r="L334" s="72"/>
      <c r="N334" s="33"/>
    </row>
    <row r="335" spans="1:14">
      <c r="A335" s="72"/>
      <c r="B335" s="277"/>
      <c r="C335" s="79" t="s">
        <v>104</v>
      </c>
      <c r="D335" s="86"/>
      <c r="E335" s="79"/>
      <c r="F335" s="79" t="s">
        <v>105</v>
      </c>
      <c r="G335" s="79" t="s">
        <v>106</v>
      </c>
      <c r="H335" s="79">
        <v>1</v>
      </c>
      <c r="I335" s="31">
        <v>3500000</v>
      </c>
      <c r="J335" s="31">
        <f t="shared" ref="J335:J336" si="39">I335</f>
        <v>3500000</v>
      </c>
      <c r="K335" s="41"/>
      <c r="L335" s="72"/>
      <c r="N335" s="33"/>
    </row>
    <row r="336" spans="1:14" ht="30">
      <c r="A336" s="72"/>
      <c r="B336" s="277"/>
      <c r="C336" s="79" t="s">
        <v>109</v>
      </c>
      <c r="D336" s="86"/>
      <c r="E336" s="79"/>
      <c r="F336" s="79" t="s">
        <v>107</v>
      </c>
      <c r="G336" s="79"/>
      <c r="H336" s="79">
        <v>1</v>
      </c>
      <c r="I336" s="31">
        <v>995000</v>
      </c>
      <c r="J336" s="67">
        <f t="shared" si="39"/>
        <v>995000</v>
      </c>
      <c r="K336" s="41"/>
      <c r="L336" s="72"/>
      <c r="N336" s="33"/>
    </row>
    <row r="337" spans="1:14">
      <c r="A337" s="72"/>
      <c r="B337" s="277"/>
      <c r="C337" s="79" t="s">
        <v>110</v>
      </c>
      <c r="D337" s="86"/>
      <c r="E337" s="79"/>
      <c r="F337" s="79" t="s">
        <v>108</v>
      </c>
      <c r="G337" s="79"/>
      <c r="H337" s="79">
        <v>2</v>
      </c>
      <c r="I337" s="31">
        <v>600000</v>
      </c>
      <c r="J337" s="67">
        <f>I337*H337</f>
        <v>1200000</v>
      </c>
      <c r="K337" s="41"/>
      <c r="L337" s="72"/>
      <c r="N337" s="33"/>
    </row>
    <row r="338" spans="1:14">
      <c r="A338" s="72"/>
      <c r="B338" s="277"/>
      <c r="C338" s="79"/>
      <c r="D338" s="86"/>
      <c r="E338" s="79"/>
      <c r="F338" s="79" t="s">
        <v>170</v>
      </c>
      <c r="G338" s="79" t="s">
        <v>255</v>
      </c>
      <c r="H338" s="79">
        <v>1</v>
      </c>
      <c r="I338" s="31">
        <v>5000000</v>
      </c>
      <c r="J338" s="31">
        <f>I338*H338</f>
        <v>5000000</v>
      </c>
      <c r="K338" s="41"/>
      <c r="L338" s="72"/>
      <c r="N338" s="33"/>
    </row>
    <row r="339" spans="1:14">
      <c r="A339" s="72"/>
      <c r="B339" s="277"/>
      <c r="C339" s="253" t="s">
        <v>200</v>
      </c>
      <c r="D339" s="85"/>
      <c r="E339" s="72"/>
      <c r="F339" s="72" t="s">
        <v>334</v>
      </c>
      <c r="G339" s="72"/>
      <c r="H339" s="72">
        <v>1</v>
      </c>
      <c r="I339" s="41">
        <v>51300000</v>
      </c>
      <c r="J339" s="41">
        <f>I339</f>
        <v>51300000</v>
      </c>
      <c r="K339" s="41">
        <v>2725000</v>
      </c>
      <c r="L339" s="72"/>
      <c r="M339" s="33">
        <f>J339+J340+K339+K340</f>
        <v>98874900</v>
      </c>
      <c r="N339" s="33"/>
    </row>
    <row r="340" spans="1:14">
      <c r="A340" s="72"/>
      <c r="B340" s="277"/>
      <c r="C340" s="254"/>
      <c r="D340" s="85"/>
      <c r="E340" s="72"/>
      <c r="F340" s="72" t="s">
        <v>335</v>
      </c>
      <c r="G340" s="72"/>
      <c r="H340" s="72">
        <v>1</v>
      </c>
      <c r="I340" s="41">
        <v>42125027</v>
      </c>
      <c r="J340" s="41">
        <v>42124900</v>
      </c>
      <c r="K340" s="41">
        <v>2725000</v>
      </c>
      <c r="L340" s="72"/>
      <c r="N340" s="33"/>
    </row>
    <row r="341" spans="1:14">
      <c r="A341" s="72"/>
      <c r="B341" s="277"/>
      <c r="C341" s="254"/>
      <c r="D341" s="85"/>
      <c r="E341" s="72"/>
      <c r="F341" s="72" t="s">
        <v>336</v>
      </c>
      <c r="G341" s="72"/>
      <c r="H341" s="72">
        <v>1</v>
      </c>
      <c r="I341" s="41">
        <v>44000000</v>
      </c>
      <c r="J341" s="41">
        <f t="shared" ref="J341:J346" si="40">I341</f>
        <v>44000000</v>
      </c>
      <c r="K341" s="41">
        <v>3000000</v>
      </c>
      <c r="L341" s="72"/>
      <c r="M341" s="33">
        <f>SUM(J341:J343)</f>
        <v>176000000</v>
      </c>
      <c r="N341" s="33">
        <f>J341+K341</f>
        <v>47000000</v>
      </c>
    </row>
    <row r="342" spans="1:14">
      <c r="A342" s="72"/>
      <c r="B342" s="277"/>
      <c r="C342" s="254"/>
      <c r="D342" s="85"/>
      <c r="E342" s="72"/>
      <c r="F342" s="72" t="s">
        <v>337</v>
      </c>
      <c r="G342" s="72"/>
      <c r="H342" s="72">
        <v>1</v>
      </c>
      <c r="I342" s="41">
        <v>88000000</v>
      </c>
      <c r="J342" s="41">
        <f t="shared" si="40"/>
        <v>88000000</v>
      </c>
      <c r="K342" s="41">
        <v>3000000</v>
      </c>
      <c r="L342" s="72"/>
      <c r="M342" s="33">
        <f>M341-185000000</f>
        <v>-9000000</v>
      </c>
      <c r="N342" s="33">
        <v>358944700</v>
      </c>
    </row>
    <row r="343" spans="1:14">
      <c r="A343" s="72"/>
      <c r="B343" s="277"/>
      <c r="C343" s="254"/>
      <c r="D343" s="85"/>
      <c r="E343" s="72"/>
      <c r="F343" s="72" t="s">
        <v>338</v>
      </c>
      <c r="G343" s="72"/>
      <c r="H343" s="72">
        <v>1</v>
      </c>
      <c r="I343" s="41">
        <v>44000000</v>
      </c>
      <c r="J343" s="41">
        <f t="shared" si="40"/>
        <v>44000000</v>
      </c>
      <c r="K343" s="41">
        <v>3000000</v>
      </c>
      <c r="L343" s="72"/>
      <c r="M343" s="33">
        <f>M342-K339-K340</f>
        <v>-14450000</v>
      </c>
      <c r="N343" s="33">
        <f>N342-30000000-N341</f>
        <v>281944700</v>
      </c>
    </row>
    <row r="344" spans="1:14">
      <c r="A344" s="72"/>
      <c r="B344" s="277"/>
      <c r="C344" s="254"/>
      <c r="D344" s="85"/>
      <c r="E344" s="72"/>
      <c r="F344" s="72" t="s">
        <v>339</v>
      </c>
      <c r="G344" s="72"/>
      <c r="H344" s="72">
        <v>1</v>
      </c>
      <c r="I344" s="41">
        <v>48000000</v>
      </c>
      <c r="J344" s="41">
        <f t="shared" si="40"/>
        <v>48000000</v>
      </c>
      <c r="K344" s="41">
        <v>3000000</v>
      </c>
      <c r="L344" s="72"/>
      <c r="M344" s="24">
        <f>48000000*2</f>
        <v>96000000</v>
      </c>
      <c r="N344" s="33"/>
    </row>
    <row r="345" spans="1:14">
      <c r="A345" s="72"/>
      <c r="B345" s="277"/>
      <c r="C345" s="254"/>
      <c r="D345" s="85"/>
      <c r="E345" s="72"/>
      <c r="F345" s="72" t="s">
        <v>340</v>
      </c>
      <c r="G345" s="72"/>
      <c r="H345" s="72">
        <v>1</v>
      </c>
      <c r="I345" s="41">
        <v>48000000</v>
      </c>
      <c r="J345" s="41">
        <f t="shared" si="40"/>
        <v>48000000</v>
      </c>
      <c r="K345" s="41">
        <v>3000000</v>
      </c>
      <c r="L345" s="72"/>
      <c r="M345" s="33">
        <f>M344+J346</f>
        <v>111896657</v>
      </c>
      <c r="N345" s="33"/>
    </row>
    <row r="346" spans="1:14">
      <c r="A346" s="82"/>
      <c r="B346" s="278"/>
      <c r="C346" s="255"/>
      <c r="D346" s="84"/>
      <c r="E346" s="82"/>
      <c r="F346" s="82" t="s">
        <v>341</v>
      </c>
      <c r="G346" s="82"/>
      <c r="H346" s="82">
        <v>1</v>
      </c>
      <c r="I346" s="63">
        <v>15896657</v>
      </c>
      <c r="J346" s="63">
        <f t="shared" si="40"/>
        <v>15896657</v>
      </c>
      <c r="K346" s="63">
        <v>3000000</v>
      </c>
      <c r="L346" s="82"/>
      <c r="M346" s="33">
        <f>M345-120896657</f>
        <v>-9000000</v>
      </c>
      <c r="N346" s="33"/>
    </row>
    <row r="347" spans="1:14" s="40" customFormat="1">
      <c r="A347" s="14"/>
      <c r="B347" s="14"/>
      <c r="C347" s="14"/>
      <c r="D347" s="8"/>
      <c r="E347" s="14"/>
      <c r="F347" s="14"/>
      <c r="G347" s="14"/>
      <c r="H347" s="14"/>
      <c r="I347" s="37"/>
      <c r="J347" s="38">
        <f>SUM(J309:J346)</f>
        <v>608091357</v>
      </c>
      <c r="K347" s="38">
        <f>SUM(K309:K346)</f>
        <v>26750000</v>
      </c>
      <c r="L347" s="39">
        <f>K347+J347</f>
        <v>634841357</v>
      </c>
      <c r="M347" s="46" t="e">
        <f>L347-'BM FIX'!#REF!</f>
        <v>#REF!</v>
      </c>
      <c r="N347" s="46"/>
    </row>
    <row r="348" spans="1:14">
      <c r="A348" s="72"/>
      <c r="B348" s="250" t="s">
        <v>342</v>
      </c>
      <c r="C348" s="256" t="s">
        <v>343</v>
      </c>
      <c r="D348" s="256" t="s">
        <v>344</v>
      </c>
      <c r="E348" s="258">
        <v>44525</v>
      </c>
      <c r="F348" s="72" t="s">
        <v>73</v>
      </c>
      <c r="G348" s="72" t="s">
        <v>232</v>
      </c>
      <c r="H348" s="72">
        <v>2</v>
      </c>
      <c r="I348" s="41">
        <v>11600000</v>
      </c>
      <c r="J348" s="41">
        <f>I348*H348</f>
        <v>23200000</v>
      </c>
      <c r="K348" s="41">
        <v>900000</v>
      </c>
      <c r="L348" s="72"/>
      <c r="M348" s="33">
        <f>J348+K348</f>
        <v>24100000</v>
      </c>
      <c r="N348" s="33"/>
    </row>
    <row r="349" spans="1:14">
      <c r="A349" s="72"/>
      <c r="B349" s="251"/>
      <c r="C349" s="257"/>
      <c r="D349" s="257"/>
      <c r="E349" s="259"/>
      <c r="F349" s="253" t="s">
        <v>33</v>
      </c>
      <c r="G349" s="81" t="s">
        <v>345</v>
      </c>
      <c r="H349" s="72">
        <v>1</v>
      </c>
      <c r="I349" s="41">
        <v>7450000</v>
      </c>
      <c r="J349" s="41">
        <f>I349*H349</f>
        <v>7450000</v>
      </c>
      <c r="K349" s="41"/>
      <c r="L349" s="72"/>
      <c r="M349" s="33">
        <f>24900000-M348</f>
        <v>800000</v>
      </c>
      <c r="N349" s="33"/>
    </row>
    <row r="350" spans="1:14">
      <c r="A350" s="72"/>
      <c r="B350" s="251"/>
      <c r="C350" s="257"/>
      <c r="D350" s="257"/>
      <c r="E350" s="259"/>
      <c r="F350" s="266"/>
      <c r="G350" s="81" t="s">
        <v>136</v>
      </c>
      <c r="H350" s="72">
        <v>1</v>
      </c>
      <c r="I350" s="41">
        <v>7300000</v>
      </c>
      <c r="J350" s="41">
        <f t="shared" ref="J350:J356" si="41">I350*H350</f>
        <v>7300000</v>
      </c>
      <c r="K350" s="41"/>
      <c r="L350" s="72"/>
      <c r="N350" s="33"/>
    </row>
    <row r="351" spans="1:14">
      <c r="A351" s="72"/>
      <c r="B351" s="251"/>
      <c r="C351" s="257"/>
      <c r="D351" s="257"/>
      <c r="E351" s="259"/>
      <c r="F351" s="72" t="s">
        <v>37</v>
      </c>
      <c r="G351" s="81" t="s">
        <v>307</v>
      </c>
      <c r="H351" s="72">
        <v>2</v>
      </c>
      <c r="I351" s="41">
        <v>1800000</v>
      </c>
      <c r="J351" s="41">
        <f t="shared" si="41"/>
        <v>3600000</v>
      </c>
      <c r="K351" s="41"/>
      <c r="L351" s="72"/>
      <c r="N351" s="33"/>
    </row>
    <row r="352" spans="1:14">
      <c r="A352" s="72"/>
      <c r="B352" s="251"/>
      <c r="C352" s="257"/>
      <c r="D352" s="257"/>
      <c r="E352" s="260"/>
      <c r="F352" s="72" t="s">
        <v>35</v>
      </c>
      <c r="G352" s="81" t="s">
        <v>346</v>
      </c>
      <c r="H352" s="72">
        <v>1</v>
      </c>
      <c r="I352" s="41">
        <v>6950000</v>
      </c>
      <c r="J352" s="41">
        <f t="shared" si="41"/>
        <v>6950000</v>
      </c>
      <c r="K352" s="41"/>
      <c r="L352" s="72"/>
      <c r="N352" s="33"/>
    </row>
    <row r="353" spans="1:14" ht="30">
      <c r="A353" s="72"/>
      <c r="B353" s="251"/>
      <c r="C353" s="79" t="s">
        <v>348</v>
      </c>
      <c r="D353" s="79" t="s">
        <v>347</v>
      </c>
      <c r="E353" s="83">
        <v>44478</v>
      </c>
      <c r="F353" s="72" t="s">
        <v>170</v>
      </c>
      <c r="G353" s="72" t="s">
        <v>171</v>
      </c>
      <c r="H353" s="72">
        <v>1</v>
      </c>
      <c r="I353" s="41">
        <v>15042500</v>
      </c>
      <c r="J353" s="41">
        <f t="shared" si="41"/>
        <v>15042500</v>
      </c>
      <c r="K353" s="41"/>
      <c r="L353" s="72"/>
      <c r="N353" s="33"/>
    </row>
    <row r="354" spans="1:14">
      <c r="A354" s="72"/>
      <c r="B354" s="251"/>
      <c r="C354" s="257" t="s">
        <v>348</v>
      </c>
      <c r="D354" s="257" t="s">
        <v>349</v>
      </c>
      <c r="E354" s="261">
        <v>44448</v>
      </c>
      <c r="F354" s="72" t="s">
        <v>350</v>
      </c>
      <c r="G354" s="72"/>
      <c r="H354" s="72">
        <v>1</v>
      </c>
      <c r="I354" s="41">
        <v>7340000</v>
      </c>
      <c r="J354" s="41">
        <f t="shared" si="41"/>
        <v>7340000</v>
      </c>
      <c r="K354" s="41"/>
      <c r="L354" s="72"/>
      <c r="N354" s="33"/>
    </row>
    <row r="355" spans="1:14">
      <c r="A355" s="72"/>
      <c r="B355" s="251"/>
      <c r="C355" s="257"/>
      <c r="D355" s="257"/>
      <c r="E355" s="259"/>
      <c r="F355" s="72" t="s">
        <v>94</v>
      </c>
      <c r="G355" s="72"/>
      <c r="H355" s="72">
        <v>1</v>
      </c>
      <c r="I355" s="41">
        <v>5000000</v>
      </c>
      <c r="J355" s="41">
        <f t="shared" si="41"/>
        <v>5000000</v>
      </c>
      <c r="K355" s="41"/>
      <c r="L355" s="72"/>
      <c r="N355" s="33"/>
    </row>
    <row r="356" spans="1:14">
      <c r="A356" s="72"/>
      <c r="B356" s="251"/>
      <c r="C356" s="257"/>
      <c r="D356" s="257"/>
      <c r="E356" s="259"/>
      <c r="F356" s="72" t="s">
        <v>62</v>
      </c>
      <c r="G356" s="72"/>
      <c r="H356" s="72">
        <v>1</v>
      </c>
      <c r="I356" s="41">
        <v>300000</v>
      </c>
      <c r="J356" s="41">
        <f t="shared" si="41"/>
        <v>300000</v>
      </c>
      <c r="K356" s="41"/>
      <c r="L356" s="72"/>
      <c r="N356" s="33"/>
    </row>
    <row r="357" spans="1:14">
      <c r="A357" s="72"/>
      <c r="B357" s="251"/>
      <c r="C357" s="257"/>
      <c r="D357" s="257"/>
      <c r="E357" s="259"/>
      <c r="F357" s="81" t="s">
        <v>128</v>
      </c>
      <c r="G357" s="81"/>
      <c r="H357" s="81">
        <v>1</v>
      </c>
      <c r="I357" s="41">
        <v>1200000</v>
      </c>
      <c r="J357" s="41">
        <f t="shared" ref="J357:J359" si="42">H357*I357</f>
        <v>1200000</v>
      </c>
      <c r="K357" s="41"/>
      <c r="L357" s="72"/>
      <c r="N357" s="33"/>
    </row>
    <row r="358" spans="1:14">
      <c r="A358" s="72"/>
      <c r="B358" s="251"/>
      <c r="C358" s="257"/>
      <c r="D358" s="257"/>
      <c r="E358" s="259"/>
      <c r="F358" s="81" t="s">
        <v>65</v>
      </c>
      <c r="G358" s="81"/>
      <c r="H358" s="81">
        <v>1</v>
      </c>
      <c r="I358" s="41">
        <v>700000</v>
      </c>
      <c r="J358" s="41">
        <f t="shared" si="42"/>
        <v>700000</v>
      </c>
      <c r="K358" s="41"/>
      <c r="L358" s="72"/>
      <c r="N358" s="33"/>
    </row>
    <row r="359" spans="1:14">
      <c r="A359" s="72"/>
      <c r="B359" s="251"/>
      <c r="C359" s="257"/>
      <c r="D359" s="257"/>
      <c r="E359" s="259"/>
      <c r="F359" s="81" t="s">
        <v>130</v>
      </c>
      <c r="G359" s="81"/>
      <c r="H359" s="81">
        <v>1</v>
      </c>
      <c r="I359" s="41">
        <v>500000</v>
      </c>
      <c r="J359" s="41">
        <f t="shared" si="42"/>
        <v>500000</v>
      </c>
      <c r="K359" s="41"/>
      <c r="L359" s="72"/>
      <c r="N359" s="33"/>
    </row>
    <row r="360" spans="1:14">
      <c r="A360" s="72"/>
      <c r="B360" s="251"/>
      <c r="C360" s="257"/>
      <c r="D360" s="257"/>
      <c r="E360" s="259"/>
      <c r="F360" s="72" t="s">
        <v>276</v>
      </c>
      <c r="G360" s="72"/>
      <c r="H360" s="72">
        <v>1</v>
      </c>
      <c r="I360" s="41">
        <v>700000</v>
      </c>
      <c r="J360" s="41">
        <f>I360*H360</f>
        <v>700000</v>
      </c>
      <c r="K360" s="41"/>
      <c r="L360" s="72"/>
      <c r="N360" s="33"/>
    </row>
    <row r="361" spans="1:14">
      <c r="A361" s="72"/>
      <c r="B361" s="251"/>
      <c r="C361" s="257"/>
      <c r="D361" s="257"/>
      <c r="E361" s="259"/>
      <c r="F361" s="72" t="s">
        <v>277</v>
      </c>
      <c r="G361" s="72"/>
      <c r="H361" s="72">
        <v>1</v>
      </c>
      <c r="I361" s="41">
        <v>4000000</v>
      </c>
      <c r="J361" s="41">
        <v>3725000</v>
      </c>
      <c r="K361" s="41"/>
      <c r="L361" s="72"/>
      <c r="N361" s="33"/>
    </row>
    <row r="362" spans="1:14">
      <c r="A362" s="72"/>
      <c r="B362" s="251"/>
      <c r="C362" s="257"/>
      <c r="D362" s="257"/>
      <c r="E362" s="259"/>
      <c r="F362" s="72" t="s">
        <v>146</v>
      </c>
      <c r="G362" s="72"/>
      <c r="H362" s="72">
        <v>1</v>
      </c>
      <c r="I362" s="41">
        <v>4000000</v>
      </c>
      <c r="J362" s="41">
        <v>2000000</v>
      </c>
      <c r="K362" s="41"/>
      <c r="L362" s="72"/>
      <c r="N362" s="33"/>
    </row>
    <row r="363" spans="1:14">
      <c r="A363" s="72"/>
      <c r="B363" s="251"/>
      <c r="C363" s="257"/>
      <c r="D363" s="257"/>
      <c r="E363" s="259"/>
      <c r="F363" s="72" t="s">
        <v>148</v>
      </c>
      <c r="G363" s="72"/>
      <c r="H363" s="72">
        <v>2</v>
      </c>
      <c r="I363" s="41">
        <v>600000</v>
      </c>
      <c r="J363" s="41">
        <f t="shared" ref="J363" si="43">I363*H363</f>
        <v>1200000</v>
      </c>
      <c r="K363" s="41"/>
      <c r="L363" s="72"/>
      <c r="N363" s="33"/>
    </row>
    <row r="364" spans="1:14" ht="30">
      <c r="A364" s="72"/>
      <c r="B364" s="251"/>
      <c r="C364" s="257"/>
      <c r="D364" s="257"/>
      <c r="E364" s="260"/>
      <c r="F364" s="72" t="s">
        <v>54</v>
      </c>
      <c r="G364" s="72" t="s">
        <v>70</v>
      </c>
      <c r="H364" s="72">
        <v>1</v>
      </c>
      <c r="I364" s="41">
        <v>8000000</v>
      </c>
      <c r="J364" s="41">
        <f>I364</f>
        <v>8000000</v>
      </c>
      <c r="K364" s="41"/>
      <c r="L364" s="72"/>
      <c r="N364" s="33"/>
    </row>
    <row r="365" spans="1:14" ht="45">
      <c r="A365" s="72"/>
      <c r="B365" s="251"/>
      <c r="C365" s="79" t="s">
        <v>78</v>
      </c>
      <c r="D365" s="79" t="s">
        <v>351</v>
      </c>
      <c r="E365" s="83">
        <v>44358</v>
      </c>
      <c r="F365" s="72" t="s">
        <v>96</v>
      </c>
      <c r="G365" s="72" t="s">
        <v>97</v>
      </c>
      <c r="H365" s="72"/>
      <c r="I365" s="41">
        <v>6990500</v>
      </c>
      <c r="J365" s="41">
        <f>I365</f>
        <v>6990500</v>
      </c>
      <c r="K365" s="41"/>
      <c r="L365" s="72"/>
      <c r="N365" s="33"/>
    </row>
    <row r="366" spans="1:14">
      <c r="A366" s="72"/>
      <c r="B366" s="251"/>
      <c r="C366" s="257" t="s">
        <v>248</v>
      </c>
      <c r="D366" s="257" t="s">
        <v>352</v>
      </c>
      <c r="E366" s="83">
        <v>44327</v>
      </c>
      <c r="F366" s="72" t="s">
        <v>42</v>
      </c>
      <c r="G366" s="72"/>
      <c r="H366" s="72">
        <v>4</v>
      </c>
      <c r="I366" s="41">
        <v>2145000</v>
      </c>
      <c r="J366" s="41">
        <f>I366*H366</f>
        <v>8580000</v>
      </c>
      <c r="K366" s="41"/>
      <c r="L366" s="72"/>
      <c r="N366" s="33"/>
    </row>
    <row r="367" spans="1:14">
      <c r="A367" s="72"/>
      <c r="B367" s="251"/>
      <c r="C367" s="257"/>
      <c r="D367" s="257"/>
      <c r="E367" s="72"/>
      <c r="F367" s="72" t="s">
        <v>151</v>
      </c>
      <c r="G367" s="72"/>
      <c r="H367" s="72">
        <v>1</v>
      </c>
      <c r="I367" s="41">
        <v>4520500</v>
      </c>
      <c r="J367" s="41">
        <f t="shared" ref="J367:J371" si="44">I367*H367</f>
        <v>4520500</v>
      </c>
      <c r="K367" s="41"/>
      <c r="L367" s="72"/>
      <c r="N367" s="33"/>
    </row>
    <row r="368" spans="1:14">
      <c r="A368" s="72"/>
      <c r="B368" s="251"/>
      <c r="C368" s="257"/>
      <c r="D368" s="257"/>
      <c r="E368" s="72"/>
      <c r="F368" s="72" t="s">
        <v>46</v>
      </c>
      <c r="G368" s="72"/>
      <c r="H368" s="72">
        <v>4</v>
      </c>
      <c r="I368" s="41">
        <f>7964000/4</f>
        <v>1991000</v>
      </c>
      <c r="J368" s="41">
        <f t="shared" si="44"/>
        <v>7964000</v>
      </c>
      <c r="K368" s="41"/>
      <c r="L368" s="72"/>
      <c r="N368" s="33"/>
    </row>
    <row r="369" spans="1:14">
      <c r="A369" s="72"/>
      <c r="B369" s="251"/>
      <c r="C369" s="257"/>
      <c r="D369" s="257"/>
      <c r="E369" s="72"/>
      <c r="F369" s="72" t="s">
        <v>152</v>
      </c>
      <c r="G369" s="72"/>
      <c r="H369" s="72">
        <v>75</v>
      </c>
      <c r="I369" s="41">
        <f>9900000/75</f>
        <v>132000</v>
      </c>
      <c r="J369" s="41">
        <f t="shared" si="44"/>
        <v>9900000</v>
      </c>
      <c r="K369" s="41"/>
      <c r="L369" s="72"/>
      <c r="M369" s="24">
        <f>6449500-7049500</f>
        <v>-600000</v>
      </c>
      <c r="N369" s="33"/>
    </row>
    <row r="370" spans="1:14">
      <c r="A370" s="72"/>
      <c r="B370" s="251"/>
      <c r="C370" s="257"/>
      <c r="D370" s="257"/>
      <c r="E370" s="72"/>
      <c r="F370" s="72" t="s">
        <v>153</v>
      </c>
      <c r="G370" s="72"/>
      <c r="H370" s="72">
        <v>1</v>
      </c>
      <c r="I370" s="41">
        <v>5900000</v>
      </c>
      <c r="J370" s="41">
        <f t="shared" si="44"/>
        <v>5900000</v>
      </c>
      <c r="K370" s="41"/>
      <c r="L370" s="72"/>
      <c r="N370" s="33"/>
    </row>
    <row r="371" spans="1:14">
      <c r="A371" s="72"/>
      <c r="B371" s="251"/>
      <c r="C371" s="257"/>
      <c r="D371" s="257"/>
      <c r="E371" s="72"/>
      <c r="F371" s="72" t="s">
        <v>85</v>
      </c>
      <c r="G371" s="72" t="s">
        <v>86</v>
      </c>
      <c r="H371" s="72">
        <v>1</v>
      </c>
      <c r="I371" s="41">
        <v>3460500</v>
      </c>
      <c r="J371" s="41">
        <f t="shared" si="44"/>
        <v>3460500</v>
      </c>
      <c r="K371" s="41"/>
      <c r="L371" s="72"/>
      <c r="N371" s="33"/>
    </row>
    <row r="372" spans="1:14">
      <c r="A372" s="72"/>
      <c r="B372" s="251"/>
      <c r="C372" s="257"/>
      <c r="D372" s="257"/>
      <c r="E372" s="72"/>
      <c r="F372" s="257" t="s">
        <v>87</v>
      </c>
      <c r="G372" s="79" t="s">
        <v>88</v>
      </c>
      <c r="H372" s="79">
        <v>2</v>
      </c>
      <c r="I372" s="31">
        <v>3450000</v>
      </c>
      <c r="J372" s="67">
        <f>I372*H372</f>
        <v>6900000</v>
      </c>
      <c r="K372" s="41">
        <v>900000</v>
      </c>
      <c r="L372" s="72"/>
      <c r="N372" s="33"/>
    </row>
    <row r="373" spans="1:14">
      <c r="A373" s="72"/>
      <c r="B373" s="251"/>
      <c r="C373" s="257"/>
      <c r="D373" s="257"/>
      <c r="E373" s="72"/>
      <c r="F373" s="257"/>
      <c r="G373" s="79" t="s">
        <v>89</v>
      </c>
      <c r="H373" s="79">
        <v>2</v>
      </c>
      <c r="I373" s="31">
        <v>3450000</v>
      </c>
      <c r="J373" s="67">
        <f t="shared" ref="J373" si="45">I373*H373</f>
        <v>6900000</v>
      </c>
      <c r="K373" s="41"/>
      <c r="L373" s="72"/>
      <c r="N373" s="33"/>
    </row>
    <row r="374" spans="1:14">
      <c r="A374" s="72"/>
      <c r="B374" s="251"/>
      <c r="C374" s="257"/>
      <c r="D374" s="257"/>
      <c r="E374" s="72"/>
      <c r="F374" s="79" t="s">
        <v>90</v>
      </c>
      <c r="G374" s="79" t="s">
        <v>91</v>
      </c>
      <c r="H374" s="79">
        <v>2</v>
      </c>
      <c r="I374" s="31">
        <f>4745000/2</f>
        <v>2372500</v>
      </c>
      <c r="J374" s="67">
        <f>I374*H374</f>
        <v>4745000</v>
      </c>
      <c r="K374" s="41"/>
      <c r="L374" s="72"/>
      <c r="N374" s="33"/>
    </row>
    <row r="375" spans="1:14">
      <c r="A375" s="72"/>
      <c r="B375" s="251"/>
      <c r="C375" s="257"/>
      <c r="D375" s="257"/>
      <c r="E375" s="72"/>
      <c r="F375" s="72" t="s">
        <v>170</v>
      </c>
      <c r="G375" s="72" t="s">
        <v>353</v>
      </c>
      <c r="H375" s="72">
        <v>1</v>
      </c>
      <c r="I375" s="41">
        <v>7049500</v>
      </c>
      <c r="J375" s="41">
        <f>I375</f>
        <v>7049500</v>
      </c>
      <c r="K375" s="41"/>
      <c r="L375" s="72"/>
      <c r="N375" s="33"/>
    </row>
    <row r="376" spans="1:14">
      <c r="A376" s="72"/>
      <c r="B376" s="251"/>
      <c r="C376" s="79" t="s">
        <v>104</v>
      </c>
      <c r="D376" s="86"/>
      <c r="E376" s="79"/>
      <c r="F376" s="79" t="s">
        <v>105</v>
      </c>
      <c r="G376" s="79" t="s">
        <v>106</v>
      </c>
      <c r="H376" s="79">
        <v>1</v>
      </c>
      <c r="I376" s="31">
        <v>3500000</v>
      </c>
      <c r="J376" s="31">
        <f t="shared" ref="J376:J377" si="46">I376</f>
        <v>3500000</v>
      </c>
      <c r="K376" s="41"/>
      <c r="L376" s="72"/>
      <c r="N376" s="33"/>
    </row>
    <row r="377" spans="1:14" ht="30">
      <c r="A377" s="72"/>
      <c r="B377" s="251"/>
      <c r="C377" s="79" t="s">
        <v>109</v>
      </c>
      <c r="D377" s="86"/>
      <c r="E377" s="79"/>
      <c r="F377" s="79" t="s">
        <v>107</v>
      </c>
      <c r="G377" s="79"/>
      <c r="H377" s="79">
        <v>1</v>
      </c>
      <c r="I377" s="31">
        <v>995000</v>
      </c>
      <c r="J377" s="67">
        <f t="shared" si="46"/>
        <v>995000</v>
      </c>
      <c r="K377" s="41"/>
      <c r="L377" s="72"/>
      <c r="N377" s="33"/>
    </row>
    <row r="378" spans="1:14">
      <c r="A378" s="72"/>
      <c r="B378" s="251"/>
      <c r="C378" s="79" t="s">
        <v>110</v>
      </c>
      <c r="D378" s="86"/>
      <c r="E378" s="79"/>
      <c r="F378" s="79" t="s">
        <v>108</v>
      </c>
      <c r="G378" s="79"/>
      <c r="H378" s="79">
        <v>2</v>
      </c>
      <c r="I378" s="31">
        <v>600000</v>
      </c>
      <c r="J378" s="67">
        <f>I378*H378</f>
        <v>1200000</v>
      </c>
      <c r="K378" s="41"/>
      <c r="L378" s="72"/>
      <c r="N378" s="33"/>
    </row>
    <row r="379" spans="1:14">
      <c r="A379" s="72"/>
      <c r="B379" s="251"/>
      <c r="C379" s="79"/>
      <c r="D379" s="86"/>
      <c r="E379" s="79"/>
      <c r="F379" s="79" t="s">
        <v>170</v>
      </c>
      <c r="G379" s="79" t="s">
        <v>255</v>
      </c>
      <c r="H379" s="79">
        <v>1</v>
      </c>
      <c r="I379" s="31">
        <v>5000000</v>
      </c>
      <c r="J379" s="31">
        <f>I379*H379</f>
        <v>5000000</v>
      </c>
      <c r="K379" s="41"/>
      <c r="L379" s="72"/>
      <c r="N379" s="33"/>
    </row>
    <row r="380" spans="1:14">
      <c r="A380" s="72"/>
      <c r="B380" s="251"/>
      <c r="C380" s="257" t="s">
        <v>348</v>
      </c>
      <c r="D380" s="268"/>
      <c r="E380" s="253"/>
      <c r="F380" s="72" t="s">
        <v>30</v>
      </c>
      <c r="G380" s="72"/>
      <c r="H380" s="72">
        <v>2</v>
      </c>
      <c r="I380" s="41">
        <v>5000000</v>
      </c>
      <c r="J380" s="41">
        <f>I380*H380</f>
        <v>10000000</v>
      </c>
      <c r="K380" s="41">
        <v>850000</v>
      </c>
      <c r="L380" s="72"/>
      <c r="N380" s="33"/>
    </row>
    <row r="381" spans="1:14">
      <c r="A381" s="81"/>
      <c r="B381" s="251"/>
      <c r="C381" s="257"/>
      <c r="D381" s="268"/>
      <c r="E381" s="266"/>
      <c r="F381" s="81" t="s">
        <v>355</v>
      </c>
      <c r="G381" s="81" t="s">
        <v>356</v>
      </c>
      <c r="H381" s="81">
        <v>1</v>
      </c>
      <c r="I381" s="41">
        <v>3500000</v>
      </c>
      <c r="J381" s="41">
        <f>I381</f>
        <v>3500000</v>
      </c>
      <c r="K381" s="41"/>
      <c r="L381" s="81"/>
      <c r="N381" s="33"/>
    </row>
    <row r="382" spans="1:14" ht="30">
      <c r="A382" s="72"/>
      <c r="B382" s="251"/>
      <c r="C382" s="257" t="s">
        <v>160</v>
      </c>
      <c r="D382" s="86"/>
      <c r="E382" s="72"/>
      <c r="F382" s="72" t="s">
        <v>354</v>
      </c>
      <c r="G382" s="72"/>
      <c r="H382" s="72">
        <v>1</v>
      </c>
      <c r="I382" s="41">
        <v>92564650</v>
      </c>
      <c r="J382" s="41">
        <f>I382</f>
        <v>92564650</v>
      </c>
      <c r="K382" s="41">
        <f>96264650-92564650</f>
        <v>3700000</v>
      </c>
      <c r="L382" s="72"/>
      <c r="N382" s="33"/>
    </row>
    <row r="383" spans="1:14">
      <c r="A383" s="72"/>
      <c r="B383" s="251"/>
      <c r="C383" s="257"/>
      <c r="D383" s="86"/>
      <c r="E383" s="72"/>
      <c r="F383" s="72" t="s">
        <v>357</v>
      </c>
      <c r="G383" s="72"/>
      <c r="H383" s="72">
        <v>1</v>
      </c>
      <c r="I383" s="41">
        <v>58722657</v>
      </c>
      <c r="J383" s="41">
        <f>I383</f>
        <v>58722657</v>
      </c>
      <c r="K383" s="41">
        <v>3000000</v>
      </c>
      <c r="L383" s="72"/>
      <c r="N383" s="33">
        <f>K383+J383</f>
        <v>61722657</v>
      </c>
    </row>
    <row r="384" spans="1:14">
      <c r="A384" s="72"/>
      <c r="B384" s="251"/>
      <c r="C384" s="257"/>
      <c r="D384" s="86"/>
      <c r="E384" s="72"/>
      <c r="F384" s="72" t="s">
        <v>358</v>
      </c>
      <c r="G384" s="72"/>
      <c r="H384" s="72">
        <v>1</v>
      </c>
      <c r="I384" s="41">
        <v>66190000</v>
      </c>
      <c r="J384" s="41">
        <f t="shared" ref="J384:J386" si="47">I384</f>
        <v>66190000</v>
      </c>
      <c r="K384" s="41">
        <v>3000000</v>
      </c>
      <c r="L384" s="72"/>
      <c r="N384" s="33">
        <v>320227150</v>
      </c>
    </row>
    <row r="385" spans="1:14">
      <c r="A385" s="68"/>
      <c r="B385" s="251"/>
      <c r="C385" s="257"/>
      <c r="D385" s="86"/>
      <c r="E385" s="68"/>
      <c r="F385" s="68" t="s">
        <v>359</v>
      </c>
      <c r="G385" s="68"/>
      <c r="H385" s="68">
        <v>1</v>
      </c>
      <c r="I385" s="31">
        <v>97395000</v>
      </c>
      <c r="J385" s="41">
        <f t="shared" si="47"/>
        <v>97395000</v>
      </c>
      <c r="K385" s="41">
        <v>3000000</v>
      </c>
      <c r="L385" s="68"/>
      <c r="N385" s="33">
        <f>N384-30000000-N383</f>
        <v>228504493</v>
      </c>
    </row>
    <row r="386" spans="1:14">
      <c r="A386" s="80"/>
      <c r="B386" s="252"/>
      <c r="C386" s="267"/>
      <c r="D386" s="87"/>
      <c r="E386" s="80"/>
      <c r="F386" s="80" t="s">
        <v>360</v>
      </c>
      <c r="G386" s="80"/>
      <c r="H386" s="80">
        <v>1</v>
      </c>
      <c r="I386" s="35">
        <v>75924000</v>
      </c>
      <c r="J386" s="63">
        <f t="shared" si="47"/>
        <v>75924000</v>
      </c>
      <c r="K386" s="63">
        <v>3000000</v>
      </c>
      <c r="L386" s="80"/>
      <c r="M386" s="33" t="e">
        <f>310231657-M387</f>
        <v>#REF!</v>
      </c>
      <c r="N386" s="24">
        <f>N385*2</f>
        <v>457008986</v>
      </c>
    </row>
    <row r="387" spans="1:14" s="40" customFormat="1">
      <c r="A387" s="14"/>
      <c r="B387" s="14"/>
      <c r="C387" s="14"/>
      <c r="D387" s="8"/>
      <c r="E387" s="14"/>
      <c r="F387" s="14"/>
      <c r="G387" s="14"/>
      <c r="H387" s="14"/>
      <c r="I387" s="37"/>
      <c r="J387" s="38">
        <f>SUM(J348:J386)</f>
        <v>582108807</v>
      </c>
      <c r="K387" s="38">
        <f>SUM(K348:K386)</f>
        <v>18350000</v>
      </c>
      <c r="L387" s="39">
        <f>J387+K387</f>
        <v>600458807</v>
      </c>
      <c r="M387" s="46" t="e">
        <f>L387-'BM FIX'!#REF!</f>
        <v>#REF!</v>
      </c>
      <c r="N387" s="40">
        <f>N386+5000000+2400000</f>
        <v>464408986</v>
      </c>
    </row>
    <row r="388" spans="1:14">
      <c r="A388" s="68"/>
      <c r="B388" s="250" t="s">
        <v>124</v>
      </c>
      <c r="C388" s="256" t="s">
        <v>60</v>
      </c>
      <c r="D388" s="256" t="s">
        <v>125</v>
      </c>
      <c r="E388" s="258">
        <v>44547</v>
      </c>
      <c r="F388" s="68" t="s">
        <v>94</v>
      </c>
      <c r="G388" s="68"/>
      <c r="H388" s="68">
        <v>1</v>
      </c>
      <c r="I388" s="31">
        <v>5000000</v>
      </c>
      <c r="J388" s="31">
        <f>I388*H388</f>
        <v>5000000</v>
      </c>
      <c r="K388" s="31"/>
      <c r="L388" s="68"/>
    </row>
    <row r="389" spans="1:14">
      <c r="A389" s="68"/>
      <c r="B389" s="251"/>
      <c r="C389" s="257"/>
      <c r="D389" s="257"/>
      <c r="E389" s="259"/>
      <c r="F389" s="68" t="s">
        <v>126</v>
      </c>
      <c r="G389" s="68" t="s">
        <v>127</v>
      </c>
      <c r="H389" s="68">
        <v>1</v>
      </c>
      <c r="I389" s="31">
        <v>300000</v>
      </c>
      <c r="J389" s="31">
        <f t="shared" ref="J389:J398" si="48">I389*H389</f>
        <v>300000</v>
      </c>
      <c r="K389" s="31"/>
      <c r="L389" s="68"/>
    </row>
    <row r="390" spans="1:14">
      <c r="A390" s="68"/>
      <c r="B390" s="251"/>
      <c r="C390" s="257"/>
      <c r="D390" s="257"/>
      <c r="E390" s="259"/>
      <c r="F390" s="68" t="s">
        <v>128</v>
      </c>
      <c r="G390" s="68" t="s">
        <v>129</v>
      </c>
      <c r="H390" s="68">
        <v>1</v>
      </c>
      <c r="I390" s="31">
        <v>1200000</v>
      </c>
      <c r="J390" s="31">
        <f t="shared" si="48"/>
        <v>1200000</v>
      </c>
      <c r="K390" s="31"/>
      <c r="L390" s="68"/>
    </row>
    <row r="391" spans="1:14">
      <c r="A391" s="68"/>
      <c r="B391" s="251"/>
      <c r="C391" s="257"/>
      <c r="D391" s="257"/>
      <c r="E391" s="259"/>
      <c r="F391" s="68" t="s">
        <v>65</v>
      </c>
      <c r="G391" s="68"/>
      <c r="H391" s="68">
        <v>1</v>
      </c>
      <c r="I391" s="31">
        <v>700000</v>
      </c>
      <c r="J391" s="31">
        <f t="shared" si="48"/>
        <v>700000</v>
      </c>
      <c r="K391" s="31"/>
      <c r="L391" s="68"/>
    </row>
    <row r="392" spans="1:14">
      <c r="A392" s="68"/>
      <c r="B392" s="251"/>
      <c r="C392" s="257"/>
      <c r="D392" s="257"/>
      <c r="E392" s="259"/>
      <c r="F392" s="68" t="s">
        <v>130</v>
      </c>
      <c r="G392" s="51" t="s">
        <v>131</v>
      </c>
      <c r="H392" s="68">
        <v>1</v>
      </c>
      <c r="I392" s="31">
        <v>500000</v>
      </c>
      <c r="J392" s="31">
        <f t="shared" si="48"/>
        <v>500000</v>
      </c>
      <c r="K392" s="31"/>
      <c r="L392" s="68"/>
    </row>
    <row r="393" spans="1:14">
      <c r="A393" s="68"/>
      <c r="B393" s="251"/>
      <c r="C393" s="257"/>
      <c r="D393" s="257"/>
      <c r="E393" s="260"/>
      <c r="F393" s="68" t="s">
        <v>132</v>
      </c>
      <c r="G393" s="68"/>
      <c r="H393" s="68">
        <v>1</v>
      </c>
      <c r="I393" s="31">
        <v>700000</v>
      </c>
      <c r="J393" s="31">
        <f t="shared" si="48"/>
        <v>700000</v>
      </c>
      <c r="K393" s="31"/>
      <c r="L393" s="68"/>
    </row>
    <row r="394" spans="1:14">
      <c r="A394" s="79"/>
      <c r="B394" s="251"/>
      <c r="C394" s="257" t="s">
        <v>230</v>
      </c>
      <c r="D394" s="257" t="s">
        <v>362</v>
      </c>
      <c r="E394" s="261">
        <v>44525</v>
      </c>
      <c r="F394" s="79" t="s">
        <v>73</v>
      </c>
      <c r="G394" s="79" t="s">
        <v>361</v>
      </c>
      <c r="H394" s="79">
        <v>1</v>
      </c>
      <c r="I394" s="31">
        <v>9300000</v>
      </c>
      <c r="J394" s="31">
        <f t="shared" si="48"/>
        <v>9300000</v>
      </c>
      <c r="K394" s="31">
        <v>900000</v>
      </c>
      <c r="L394" s="79"/>
    </row>
    <row r="395" spans="1:14">
      <c r="A395" s="79"/>
      <c r="B395" s="251"/>
      <c r="C395" s="257"/>
      <c r="D395" s="257"/>
      <c r="E395" s="259"/>
      <c r="F395" s="79" t="s">
        <v>33</v>
      </c>
      <c r="G395" s="79" t="s">
        <v>325</v>
      </c>
      <c r="H395" s="79">
        <v>1</v>
      </c>
      <c r="I395" s="31">
        <v>8700000</v>
      </c>
      <c r="J395" s="31">
        <f t="shared" si="48"/>
        <v>8700000</v>
      </c>
      <c r="K395" s="31"/>
      <c r="L395" s="79"/>
    </row>
    <row r="396" spans="1:14">
      <c r="A396" s="79"/>
      <c r="B396" s="251"/>
      <c r="C396" s="257"/>
      <c r="D396" s="257"/>
      <c r="E396" s="259"/>
      <c r="F396" s="79" t="s">
        <v>35</v>
      </c>
      <c r="G396" s="79" t="s">
        <v>211</v>
      </c>
      <c r="H396" s="79">
        <v>1</v>
      </c>
      <c r="I396" s="31">
        <v>6930000</v>
      </c>
      <c r="J396" s="31">
        <f t="shared" si="48"/>
        <v>6930000</v>
      </c>
      <c r="K396" s="31"/>
      <c r="L396" s="79"/>
    </row>
    <row r="397" spans="1:14">
      <c r="A397" s="79"/>
      <c r="B397" s="251"/>
      <c r="C397" s="257"/>
      <c r="D397" s="257"/>
      <c r="E397" s="260"/>
      <c r="F397" s="79" t="s">
        <v>37</v>
      </c>
      <c r="G397" s="79" t="s">
        <v>210</v>
      </c>
      <c r="H397" s="79">
        <v>2</v>
      </c>
      <c r="I397" s="31">
        <v>1820000</v>
      </c>
      <c r="J397" s="31">
        <f t="shared" si="48"/>
        <v>3640000</v>
      </c>
      <c r="K397" s="31"/>
      <c r="L397" s="79"/>
    </row>
    <row r="398" spans="1:14" ht="45">
      <c r="A398" s="79"/>
      <c r="B398" s="251"/>
      <c r="C398" s="79" t="s">
        <v>78</v>
      </c>
      <c r="D398" s="79" t="s">
        <v>363</v>
      </c>
      <c r="E398" s="42">
        <v>44358</v>
      </c>
      <c r="F398" s="79" t="s">
        <v>96</v>
      </c>
      <c r="G398" s="79" t="s">
        <v>97</v>
      </c>
      <c r="H398" s="79">
        <v>1</v>
      </c>
      <c r="I398" s="31">
        <v>6990500</v>
      </c>
      <c r="J398" s="31">
        <f t="shared" si="48"/>
        <v>6990500</v>
      </c>
      <c r="K398" s="31"/>
      <c r="L398" s="79"/>
    </row>
    <row r="399" spans="1:14" ht="30" customHeight="1">
      <c r="A399" s="79"/>
      <c r="B399" s="251"/>
      <c r="C399" s="257" t="s">
        <v>248</v>
      </c>
      <c r="D399" s="257" t="s">
        <v>364</v>
      </c>
      <c r="E399" s="261">
        <v>44327</v>
      </c>
      <c r="F399" s="253" t="s">
        <v>289</v>
      </c>
      <c r="G399" s="79"/>
      <c r="H399" s="79">
        <v>2</v>
      </c>
      <c r="I399" s="31">
        <v>2084000</v>
      </c>
      <c r="J399" s="31">
        <f>I399*H399</f>
        <v>4168000</v>
      </c>
      <c r="K399" s="31"/>
      <c r="L399" s="79"/>
    </row>
    <row r="400" spans="1:14">
      <c r="A400" s="79"/>
      <c r="B400" s="251"/>
      <c r="C400" s="257"/>
      <c r="D400" s="257"/>
      <c r="E400" s="259"/>
      <c r="F400" s="266"/>
      <c r="G400" s="79"/>
      <c r="H400" s="79">
        <v>1</v>
      </c>
      <c r="I400" s="31">
        <v>2085000</v>
      </c>
      <c r="J400" s="31">
        <f>I400*H400</f>
        <v>2085000</v>
      </c>
      <c r="K400" s="31"/>
      <c r="L400" s="79"/>
      <c r="M400" s="33">
        <f>6253000-J399</f>
        <v>2085000</v>
      </c>
    </row>
    <row r="401" spans="1:13">
      <c r="A401" s="79"/>
      <c r="B401" s="251"/>
      <c r="C401" s="257"/>
      <c r="D401" s="257"/>
      <c r="E401" s="259"/>
      <c r="F401" s="79" t="s">
        <v>365</v>
      </c>
      <c r="G401" s="79"/>
      <c r="H401" s="79">
        <v>1</v>
      </c>
      <c r="I401" s="31">
        <v>4158000</v>
      </c>
      <c r="J401" s="31">
        <f>I401*H401</f>
        <v>4158000</v>
      </c>
      <c r="K401" s="31"/>
      <c r="L401" s="79"/>
    </row>
    <row r="402" spans="1:13">
      <c r="A402" s="79"/>
      <c r="B402" s="251"/>
      <c r="C402" s="257"/>
      <c r="D402" s="257"/>
      <c r="E402" s="259"/>
      <c r="F402" s="79" t="s">
        <v>290</v>
      </c>
      <c r="G402" s="79"/>
      <c r="H402" s="79">
        <v>3</v>
      </c>
      <c r="I402" s="31">
        <v>1991000</v>
      </c>
      <c r="J402" s="31">
        <f>I402*H402</f>
        <v>5973000</v>
      </c>
      <c r="K402" s="31"/>
      <c r="L402" s="79"/>
      <c r="M402" s="24">
        <f>5973000/3</f>
        <v>1991000</v>
      </c>
    </row>
    <row r="403" spans="1:13">
      <c r="A403" s="79"/>
      <c r="B403" s="251"/>
      <c r="C403" s="257"/>
      <c r="D403" s="257"/>
      <c r="E403" s="259"/>
      <c r="F403" s="253" t="s">
        <v>152</v>
      </c>
      <c r="G403" s="79" t="s">
        <v>82</v>
      </c>
      <c r="H403" s="79">
        <v>74</v>
      </c>
      <c r="I403" s="31">
        <v>131980</v>
      </c>
      <c r="J403" s="31">
        <f>I403*H403</f>
        <v>9766520</v>
      </c>
      <c r="K403" s="31"/>
      <c r="L403" s="79"/>
    </row>
    <row r="404" spans="1:13">
      <c r="A404" s="79"/>
      <c r="B404" s="251"/>
      <c r="C404" s="257"/>
      <c r="D404" s="257"/>
      <c r="E404" s="259"/>
      <c r="F404" s="266"/>
      <c r="G404" s="79"/>
      <c r="H404" s="79">
        <v>1</v>
      </c>
      <c r="I404" s="31">
        <f>9899000-J403</f>
        <v>132480</v>
      </c>
      <c r="J404" s="31">
        <f>I404</f>
        <v>132480</v>
      </c>
      <c r="K404" s="31"/>
      <c r="L404" s="79"/>
    </row>
    <row r="405" spans="1:13">
      <c r="A405" s="79"/>
      <c r="B405" s="251"/>
      <c r="C405" s="257"/>
      <c r="D405" s="257"/>
      <c r="E405" s="259"/>
      <c r="F405" s="79" t="s">
        <v>153</v>
      </c>
      <c r="G405" s="79" t="s">
        <v>366</v>
      </c>
      <c r="H405" s="79">
        <v>1</v>
      </c>
      <c r="I405" s="31">
        <v>4800000</v>
      </c>
      <c r="J405" s="31">
        <f>I405</f>
        <v>4800000</v>
      </c>
      <c r="K405" s="31"/>
      <c r="L405" s="79"/>
      <c r="M405" s="24">
        <f>131987*75</f>
        <v>9899025</v>
      </c>
    </row>
    <row r="406" spans="1:13">
      <c r="A406" s="79"/>
      <c r="B406" s="251"/>
      <c r="C406" s="257"/>
      <c r="D406" s="257"/>
      <c r="E406" s="259"/>
      <c r="F406" s="79" t="s">
        <v>292</v>
      </c>
      <c r="G406" s="79" t="s">
        <v>86</v>
      </c>
      <c r="H406" s="79">
        <v>1</v>
      </c>
      <c r="I406" s="31">
        <v>3354000</v>
      </c>
      <c r="J406" s="31">
        <f>I406</f>
        <v>3354000</v>
      </c>
      <c r="K406" s="31"/>
      <c r="L406" s="79"/>
    </row>
    <row r="407" spans="1:13">
      <c r="A407" s="79"/>
      <c r="B407" s="251"/>
      <c r="C407" s="257"/>
      <c r="D407" s="257"/>
      <c r="E407" s="259"/>
      <c r="F407" s="257" t="s">
        <v>87</v>
      </c>
      <c r="G407" s="79" t="s">
        <v>88</v>
      </c>
      <c r="H407" s="79">
        <v>2</v>
      </c>
      <c r="I407" s="31">
        <v>3450000</v>
      </c>
      <c r="J407" s="67">
        <f>I407*H407</f>
        <v>6900000</v>
      </c>
      <c r="K407" s="41">
        <v>900000</v>
      </c>
      <c r="L407" s="79"/>
      <c r="M407" s="24">
        <v>17863000</v>
      </c>
    </row>
    <row r="408" spans="1:13">
      <c r="A408" s="79"/>
      <c r="B408" s="251"/>
      <c r="C408" s="257"/>
      <c r="D408" s="257"/>
      <c r="E408" s="259"/>
      <c r="F408" s="257"/>
      <c r="G408" s="79" t="s">
        <v>89</v>
      </c>
      <c r="H408" s="79">
        <v>2</v>
      </c>
      <c r="I408" s="31">
        <v>3450000</v>
      </c>
      <c r="J408" s="67">
        <f t="shared" ref="J408" si="49">I408*H408</f>
        <v>6900000</v>
      </c>
      <c r="K408" s="41"/>
      <c r="L408" s="79"/>
      <c r="M408" s="33">
        <f>M407-J407-J408-J409</f>
        <v>0</v>
      </c>
    </row>
    <row r="409" spans="1:13">
      <c r="A409" s="79"/>
      <c r="B409" s="251"/>
      <c r="C409" s="257"/>
      <c r="D409" s="257"/>
      <c r="E409" s="260"/>
      <c r="F409" s="79" t="s">
        <v>90</v>
      </c>
      <c r="G409" s="79" t="s">
        <v>91</v>
      </c>
      <c r="H409" s="79">
        <v>2</v>
      </c>
      <c r="I409" s="31">
        <f>4063000/2</f>
        <v>2031500</v>
      </c>
      <c r="J409" s="67">
        <f>I409*H409</f>
        <v>4063000</v>
      </c>
      <c r="K409" s="41"/>
      <c r="L409" s="79"/>
    </row>
    <row r="410" spans="1:13">
      <c r="A410" s="79"/>
      <c r="B410" s="251"/>
      <c r="C410" s="79" t="s">
        <v>316</v>
      </c>
      <c r="D410" s="79" t="s">
        <v>367</v>
      </c>
      <c r="E410" s="42">
        <v>44365</v>
      </c>
      <c r="F410" s="79" t="s">
        <v>20</v>
      </c>
      <c r="G410" s="79" t="s">
        <v>368</v>
      </c>
      <c r="H410" s="79">
        <v>1</v>
      </c>
      <c r="I410" s="31">
        <v>53904000</v>
      </c>
      <c r="J410" s="31">
        <f>I410</f>
        <v>53904000</v>
      </c>
      <c r="K410" s="31">
        <v>900000</v>
      </c>
      <c r="L410" s="79"/>
    </row>
    <row r="411" spans="1:13" ht="30">
      <c r="A411" s="79"/>
      <c r="B411" s="251"/>
      <c r="C411" s="79"/>
      <c r="D411" s="79"/>
      <c r="E411" s="79"/>
      <c r="F411" s="79" t="s">
        <v>280</v>
      </c>
      <c r="G411" s="79" t="s">
        <v>70</v>
      </c>
      <c r="H411" s="79">
        <v>1</v>
      </c>
      <c r="I411" s="31">
        <v>8000000</v>
      </c>
      <c r="J411" s="31">
        <f>I411</f>
        <v>8000000</v>
      </c>
      <c r="K411" s="31"/>
      <c r="L411" s="79"/>
    </row>
    <row r="412" spans="1:13">
      <c r="A412" s="79"/>
      <c r="B412" s="251"/>
      <c r="C412" s="79" t="s">
        <v>104</v>
      </c>
      <c r="D412" s="86"/>
      <c r="E412" s="79"/>
      <c r="F412" s="79" t="s">
        <v>105</v>
      </c>
      <c r="G412" s="79" t="s">
        <v>106</v>
      </c>
      <c r="H412" s="79">
        <v>1</v>
      </c>
      <c r="I412" s="31">
        <v>3500000</v>
      </c>
      <c r="J412" s="31">
        <f t="shared" ref="J412:J413" si="50">I412</f>
        <v>3500000</v>
      </c>
      <c r="K412" s="31"/>
      <c r="L412" s="79"/>
    </row>
    <row r="413" spans="1:13" ht="30">
      <c r="A413" s="79"/>
      <c r="B413" s="251"/>
      <c r="C413" s="79" t="s">
        <v>109</v>
      </c>
      <c r="D413" s="86"/>
      <c r="E413" s="79"/>
      <c r="F413" s="79" t="s">
        <v>107</v>
      </c>
      <c r="G413" s="79"/>
      <c r="H413" s="79">
        <v>1</v>
      </c>
      <c r="I413" s="31">
        <v>995000</v>
      </c>
      <c r="J413" s="67">
        <f t="shared" si="50"/>
        <v>995000</v>
      </c>
      <c r="K413" s="31"/>
      <c r="L413" s="79"/>
    </row>
    <row r="414" spans="1:13">
      <c r="A414" s="79"/>
      <c r="B414" s="251"/>
      <c r="C414" s="79" t="s">
        <v>110</v>
      </c>
      <c r="D414" s="86"/>
      <c r="E414" s="79"/>
      <c r="F414" s="79" t="s">
        <v>108</v>
      </c>
      <c r="G414" s="79"/>
      <c r="H414" s="79">
        <v>2</v>
      </c>
      <c r="I414" s="31">
        <v>600000</v>
      </c>
      <c r="J414" s="67">
        <f>I414*H414</f>
        <v>1200000</v>
      </c>
      <c r="K414" s="31"/>
      <c r="L414" s="79"/>
    </row>
    <row r="415" spans="1:13">
      <c r="A415" s="79"/>
      <c r="B415" s="251"/>
      <c r="C415" s="79"/>
      <c r="D415" s="86"/>
      <c r="E415" s="79"/>
      <c r="F415" s="79" t="s">
        <v>170</v>
      </c>
      <c r="G415" s="79" t="s">
        <v>255</v>
      </c>
      <c r="H415" s="79">
        <v>1</v>
      </c>
      <c r="I415" s="31">
        <v>5000000</v>
      </c>
      <c r="J415" s="31">
        <f>I415*H415</f>
        <v>5000000</v>
      </c>
      <c r="K415" s="31"/>
      <c r="L415" s="79"/>
    </row>
    <row r="416" spans="1:13">
      <c r="A416" s="79"/>
      <c r="B416" s="251"/>
      <c r="C416" s="79"/>
      <c r="D416" s="86"/>
      <c r="E416" s="79"/>
      <c r="F416" s="79" t="s">
        <v>30</v>
      </c>
      <c r="G416" s="79" t="s">
        <v>32</v>
      </c>
      <c r="H416" s="79">
        <v>1</v>
      </c>
      <c r="I416" s="31">
        <v>4500000</v>
      </c>
      <c r="J416" s="31">
        <f t="shared" ref="J416:J423" si="51">I416</f>
        <v>4500000</v>
      </c>
      <c r="K416" s="31"/>
      <c r="L416" s="79"/>
    </row>
    <row r="417" spans="1:14">
      <c r="A417" s="79"/>
      <c r="B417" s="251"/>
      <c r="C417" s="257" t="s">
        <v>200</v>
      </c>
      <c r="D417" s="86"/>
      <c r="E417" s="79"/>
      <c r="F417" s="79" t="s">
        <v>369</v>
      </c>
      <c r="G417" s="79"/>
      <c r="H417" s="79">
        <v>1</v>
      </c>
      <c r="I417" s="31">
        <v>51767400</v>
      </c>
      <c r="J417" s="31">
        <f t="shared" si="51"/>
        <v>51767400</v>
      </c>
      <c r="K417" s="31">
        <f>54767400-51767400</f>
        <v>3000000</v>
      </c>
      <c r="L417" s="79"/>
    </row>
    <row r="418" spans="1:14">
      <c r="A418" s="79"/>
      <c r="B418" s="251"/>
      <c r="C418" s="257"/>
      <c r="D418" s="86"/>
      <c r="E418" s="79"/>
      <c r="F418" s="79" t="s">
        <v>370</v>
      </c>
      <c r="G418" s="79"/>
      <c r="H418" s="79">
        <v>1</v>
      </c>
      <c r="I418" s="31">
        <v>69370000</v>
      </c>
      <c r="J418" s="31">
        <f t="shared" si="51"/>
        <v>69370000</v>
      </c>
      <c r="K418" s="31">
        <f>72420000-69370000</f>
        <v>3050000</v>
      </c>
      <c r="L418" s="79"/>
      <c r="M418" s="33">
        <f>M420+M419</f>
        <v>245624657</v>
      </c>
    </row>
    <row r="419" spans="1:14">
      <c r="A419" s="79"/>
      <c r="B419" s="251"/>
      <c r="C419" s="257"/>
      <c r="D419" s="86"/>
      <c r="E419" s="79"/>
      <c r="F419" s="79" t="s">
        <v>371</v>
      </c>
      <c r="G419" s="79"/>
      <c r="H419" s="79">
        <v>1</v>
      </c>
      <c r="I419" s="31">
        <v>119150000</v>
      </c>
      <c r="J419" s="31">
        <f t="shared" si="51"/>
        <v>119150000</v>
      </c>
      <c r="K419" s="31">
        <f>2400000+650000</f>
        <v>3050000</v>
      </c>
      <c r="L419" s="79"/>
      <c r="M419" s="33">
        <f>SUM(K419:K421)</f>
        <v>7850000</v>
      </c>
      <c r="N419" s="33">
        <f>K419+J419</f>
        <v>122200000</v>
      </c>
    </row>
    <row r="420" spans="1:14">
      <c r="A420" s="79"/>
      <c r="B420" s="251"/>
      <c r="C420" s="257"/>
      <c r="D420" s="86"/>
      <c r="E420" s="79"/>
      <c r="F420" s="79" t="s">
        <v>372</v>
      </c>
      <c r="G420" s="79"/>
      <c r="H420" s="79">
        <v>1</v>
      </c>
      <c r="I420" s="31">
        <v>65950000</v>
      </c>
      <c r="J420" s="31">
        <f t="shared" si="51"/>
        <v>65950000</v>
      </c>
      <c r="K420" s="31">
        <v>2400000</v>
      </c>
      <c r="L420" s="79"/>
      <c r="M420" s="33">
        <f>J420+J421+J419</f>
        <v>237774657</v>
      </c>
      <c r="N420" s="57">
        <v>333246900</v>
      </c>
    </row>
    <row r="421" spans="1:14">
      <c r="A421" s="79"/>
      <c r="B421" s="251"/>
      <c r="C421" s="257"/>
      <c r="D421" s="86"/>
      <c r="E421" s="79"/>
      <c r="F421" s="79" t="s">
        <v>373</v>
      </c>
      <c r="G421" s="79"/>
      <c r="H421" s="79">
        <v>1</v>
      </c>
      <c r="I421" s="31">
        <v>52674657</v>
      </c>
      <c r="J421" s="31">
        <f t="shared" si="51"/>
        <v>52674657</v>
      </c>
      <c r="K421" s="31">
        <v>2400000</v>
      </c>
      <c r="L421" s="79"/>
      <c r="M421" s="33">
        <f>89752000-J422-J423</f>
        <v>5450000</v>
      </c>
      <c r="N421" s="33">
        <f>M421/2</f>
        <v>2725000</v>
      </c>
    </row>
    <row r="422" spans="1:14">
      <c r="A422" s="79"/>
      <c r="B422" s="251"/>
      <c r="C422" s="257"/>
      <c r="D422" s="86"/>
      <c r="E422" s="79"/>
      <c r="F422" s="79" t="s">
        <v>374</v>
      </c>
      <c r="G422" s="79"/>
      <c r="H422" s="79">
        <v>1</v>
      </c>
      <c r="I422" s="31">
        <v>66000000</v>
      </c>
      <c r="J422" s="31">
        <f t="shared" si="51"/>
        <v>66000000</v>
      </c>
      <c r="K422" s="31">
        <v>2725000</v>
      </c>
      <c r="L422" s="79"/>
      <c r="M422" s="33">
        <f>M421/3</f>
        <v>1816666.6666666667</v>
      </c>
    </row>
    <row r="423" spans="1:14">
      <c r="A423" s="80"/>
      <c r="B423" s="252"/>
      <c r="C423" s="267"/>
      <c r="D423" s="87"/>
      <c r="E423" s="80"/>
      <c r="F423" s="80" t="s">
        <v>375</v>
      </c>
      <c r="G423" s="80"/>
      <c r="H423" s="80">
        <v>1</v>
      </c>
      <c r="I423" s="35">
        <v>18302000</v>
      </c>
      <c r="J423" s="35">
        <f t="shared" si="51"/>
        <v>18302000</v>
      </c>
      <c r="K423" s="35">
        <v>2725000</v>
      </c>
      <c r="L423" s="80"/>
      <c r="M423" s="33">
        <f>M421-650000</f>
        <v>4800000</v>
      </c>
    </row>
    <row r="424" spans="1:14" s="40" customFormat="1">
      <c r="A424" s="14"/>
      <c r="B424" s="14"/>
      <c r="C424" s="14"/>
      <c r="D424" s="8"/>
      <c r="E424" s="14"/>
      <c r="F424" s="14"/>
      <c r="G424" s="14"/>
      <c r="H424" s="14"/>
      <c r="I424" s="37"/>
      <c r="J424" s="38">
        <f>SUM(J388:J423)</f>
        <v>616573557</v>
      </c>
      <c r="K424" s="38">
        <f>SUM(K388:K423)</f>
        <v>22050000</v>
      </c>
      <c r="L424" s="39">
        <f>K424+J424</f>
        <v>638623557</v>
      </c>
      <c r="M424" s="46" t="e">
        <f>L424-'BM FIX'!#REF!</f>
        <v>#REF!</v>
      </c>
    </row>
    <row r="425" spans="1:14">
      <c r="A425" s="81"/>
      <c r="B425" s="250" t="s">
        <v>376</v>
      </c>
      <c r="C425" s="256" t="s">
        <v>140</v>
      </c>
      <c r="D425" s="256" t="s">
        <v>377</v>
      </c>
      <c r="E425" s="258">
        <v>44525</v>
      </c>
      <c r="F425" s="81" t="s">
        <v>73</v>
      </c>
      <c r="G425" s="81" t="s">
        <v>305</v>
      </c>
      <c r="H425" s="81">
        <v>2</v>
      </c>
      <c r="I425" s="41">
        <v>9300000</v>
      </c>
      <c r="J425" s="41">
        <f>I425*H425</f>
        <v>18600000</v>
      </c>
      <c r="K425" s="41">
        <v>900000</v>
      </c>
      <c r="L425" s="81"/>
      <c r="M425" s="33">
        <f>J425+K425</f>
        <v>19500000</v>
      </c>
    </row>
    <row r="426" spans="1:14">
      <c r="A426" s="81"/>
      <c r="B426" s="251"/>
      <c r="C426" s="257"/>
      <c r="D426" s="257"/>
      <c r="E426" s="259"/>
      <c r="F426" s="253" t="s">
        <v>33</v>
      </c>
      <c r="G426" s="81" t="s">
        <v>325</v>
      </c>
      <c r="H426" s="81">
        <v>1</v>
      </c>
      <c r="I426" s="41">
        <v>8700000</v>
      </c>
      <c r="J426" s="41">
        <f>I426*H426</f>
        <v>8700000</v>
      </c>
      <c r="K426" s="41"/>
      <c r="L426" s="81"/>
      <c r="M426" s="33">
        <f>J427+J426</f>
        <v>17280000</v>
      </c>
    </row>
    <row r="427" spans="1:14">
      <c r="A427" s="81"/>
      <c r="B427" s="251"/>
      <c r="C427" s="257"/>
      <c r="D427" s="257"/>
      <c r="E427" s="259"/>
      <c r="F427" s="266"/>
      <c r="G427" s="81" t="s">
        <v>378</v>
      </c>
      <c r="H427" s="81">
        <v>1</v>
      </c>
      <c r="I427" s="41">
        <v>8580000</v>
      </c>
      <c r="J427" s="41">
        <f t="shared" ref="J427:J432" si="52">I427*H427</f>
        <v>8580000</v>
      </c>
      <c r="K427" s="41"/>
      <c r="L427" s="81"/>
    </row>
    <row r="428" spans="1:14">
      <c r="A428" s="81"/>
      <c r="B428" s="251"/>
      <c r="C428" s="257"/>
      <c r="D428" s="257"/>
      <c r="E428" s="259"/>
      <c r="F428" s="81" t="s">
        <v>37</v>
      </c>
      <c r="G428" s="81" t="s">
        <v>307</v>
      </c>
      <c r="H428" s="81">
        <v>2</v>
      </c>
      <c r="I428" s="41">
        <v>1800000</v>
      </c>
      <c r="J428" s="41">
        <f t="shared" si="52"/>
        <v>3600000</v>
      </c>
      <c r="K428" s="41"/>
      <c r="L428" s="81"/>
    </row>
    <row r="429" spans="1:14">
      <c r="A429" s="81"/>
      <c r="B429" s="251"/>
      <c r="C429" s="257"/>
      <c r="D429" s="257"/>
      <c r="E429" s="260"/>
      <c r="F429" s="81" t="s">
        <v>35</v>
      </c>
      <c r="G429" s="81" t="s">
        <v>346</v>
      </c>
      <c r="H429" s="81">
        <v>1</v>
      </c>
      <c r="I429" s="41">
        <v>6950000</v>
      </c>
      <c r="J429" s="41">
        <f t="shared" si="52"/>
        <v>6950000</v>
      </c>
      <c r="K429" s="41"/>
      <c r="L429" s="81"/>
    </row>
    <row r="430" spans="1:14" ht="30">
      <c r="A430" s="81"/>
      <c r="B430" s="251"/>
      <c r="C430" s="79" t="s">
        <v>380</v>
      </c>
      <c r="D430" s="79" t="s">
        <v>379</v>
      </c>
      <c r="E430" s="83">
        <v>44462</v>
      </c>
      <c r="F430" s="81" t="s">
        <v>170</v>
      </c>
      <c r="G430" s="81" t="s">
        <v>221</v>
      </c>
      <c r="H430" s="81">
        <v>1</v>
      </c>
      <c r="I430" s="41">
        <v>61300000</v>
      </c>
      <c r="J430" s="41">
        <f t="shared" si="52"/>
        <v>61300000</v>
      </c>
      <c r="K430" s="41">
        <v>850000</v>
      </c>
      <c r="L430" s="81"/>
    </row>
    <row r="431" spans="1:14">
      <c r="A431" s="81"/>
      <c r="B431" s="251"/>
      <c r="C431" s="257" t="s">
        <v>60</v>
      </c>
      <c r="D431" s="257" t="s">
        <v>381</v>
      </c>
      <c r="E431" s="261">
        <v>44448</v>
      </c>
      <c r="F431" s="81" t="s">
        <v>159</v>
      </c>
      <c r="G431" s="81"/>
      <c r="H431" s="81">
        <v>1</v>
      </c>
      <c r="I431" s="41">
        <v>7340000</v>
      </c>
      <c r="J431" s="41">
        <f t="shared" si="52"/>
        <v>7340000</v>
      </c>
      <c r="K431" s="41"/>
      <c r="L431" s="81"/>
    </row>
    <row r="432" spans="1:14">
      <c r="A432" s="81"/>
      <c r="B432" s="251"/>
      <c r="C432" s="257"/>
      <c r="D432" s="257"/>
      <c r="E432" s="259"/>
      <c r="F432" s="81" t="s">
        <v>94</v>
      </c>
      <c r="G432" s="81"/>
      <c r="H432" s="81">
        <v>1</v>
      </c>
      <c r="I432" s="41">
        <v>4000000</v>
      </c>
      <c r="J432" s="41">
        <f t="shared" si="52"/>
        <v>4000000</v>
      </c>
      <c r="K432" s="41"/>
      <c r="L432" s="81"/>
    </row>
    <row r="433" spans="1:13">
      <c r="A433" s="81"/>
      <c r="B433" s="251"/>
      <c r="C433" s="257"/>
      <c r="D433" s="257"/>
      <c r="E433" s="259"/>
      <c r="F433" s="81" t="s">
        <v>382</v>
      </c>
      <c r="G433" s="81" t="s">
        <v>127</v>
      </c>
      <c r="H433" s="81">
        <v>1</v>
      </c>
      <c r="I433" s="41">
        <v>300000</v>
      </c>
      <c r="J433" s="41">
        <f>I433</f>
        <v>300000</v>
      </c>
      <c r="K433" s="41"/>
      <c r="L433" s="81"/>
    </row>
    <row r="434" spans="1:13">
      <c r="A434" s="81"/>
      <c r="B434" s="251"/>
      <c r="C434" s="257"/>
      <c r="D434" s="257"/>
      <c r="E434" s="259"/>
      <c r="F434" s="81" t="s">
        <v>128</v>
      </c>
      <c r="G434" s="81"/>
      <c r="H434" s="81">
        <v>1</v>
      </c>
      <c r="I434" s="41">
        <v>1200000</v>
      </c>
      <c r="J434" s="41">
        <f>I434</f>
        <v>1200000</v>
      </c>
      <c r="K434" s="41"/>
      <c r="L434" s="81"/>
    </row>
    <row r="435" spans="1:13">
      <c r="A435" s="81"/>
      <c r="B435" s="251"/>
      <c r="C435" s="257"/>
      <c r="D435" s="257"/>
      <c r="E435" s="260"/>
      <c r="F435" s="81" t="s">
        <v>65</v>
      </c>
      <c r="G435" s="81"/>
      <c r="H435" s="81">
        <v>1</v>
      </c>
      <c r="I435" s="41">
        <v>700000</v>
      </c>
      <c r="J435" s="41">
        <f>I435</f>
        <v>700000</v>
      </c>
      <c r="K435" s="41"/>
      <c r="L435" s="81"/>
    </row>
    <row r="436" spans="1:13" ht="45">
      <c r="A436" s="81"/>
      <c r="B436" s="251"/>
      <c r="C436" s="79" t="s">
        <v>78</v>
      </c>
      <c r="D436" s="79" t="s">
        <v>383</v>
      </c>
      <c r="E436" s="83">
        <v>44358</v>
      </c>
      <c r="F436" s="81" t="s">
        <v>96</v>
      </c>
      <c r="G436" s="81" t="s">
        <v>97</v>
      </c>
      <c r="H436" s="81">
        <v>1</v>
      </c>
      <c r="I436" s="41">
        <v>6990500</v>
      </c>
      <c r="J436" s="97">
        <f>I436</f>
        <v>6990500</v>
      </c>
      <c r="K436" s="41"/>
      <c r="L436" s="81"/>
    </row>
    <row r="437" spans="1:13">
      <c r="A437" s="81"/>
      <c r="B437" s="251"/>
      <c r="C437" s="257" t="s">
        <v>248</v>
      </c>
      <c r="D437" s="257" t="s">
        <v>384</v>
      </c>
      <c r="E437" s="261">
        <v>44327</v>
      </c>
      <c r="F437" s="81" t="s">
        <v>46</v>
      </c>
      <c r="G437" s="81"/>
      <c r="H437" s="81">
        <v>3</v>
      </c>
      <c r="I437" s="41">
        <v>1991000</v>
      </c>
      <c r="J437" s="41">
        <f>I437*H437</f>
        <v>5973000</v>
      </c>
      <c r="K437" s="41"/>
      <c r="L437" s="81"/>
      <c r="M437" s="33">
        <f>5973000-J437</f>
        <v>0</v>
      </c>
    </row>
    <row r="438" spans="1:13">
      <c r="A438" s="81"/>
      <c r="B438" s="251"/>
      <c r="C438" s="257"/>
      <c r="D438" s="257"/>
      <c r="E438" s="259"/>
      <c r="F438" s="81" t="s">
        <v>152</v>
      </c>
      <c r="G438" s="81" t="s">
        <v>82</v>
      </c>
      <c r="H438" s="81">
        <v>75</v>
      </c>
      <c r="I438" s="41">
        <f>9900000/75</f>
        <v>132000</v>
      </c>
      <c r="J438" s="41">
        <f>I438*H438</f>
        <v>9900000</v>
      </c>
      <c r="K438" s="41"/>
      <c r="L438" s="81"/>
    </row>
    <row r="439" spans="1:13">
      <c r="A439" s="81"/>
      <c r="B439" s="251"/>
      <c r="C439" s="257"/>
      <c r="D439" s="257"/>
      <c r="E439" s="259"/>
      <c r="F439" s="81" t="s">
        <v>385</v>
      </c>
      <c r="G439" s="81" t="s">
        <v>366</v>
      </c>
      <c r="H439" s="81">
        <v>1</v>
      </c>
      <c r="I439" s="41">
        <v>5000000</v>
      </c>
      <c r="J439" s="41">
        <v>4800000</v>
      </c>
      <c r="K439" s="41"/>
      <c r="L439" s="81"/>
    </row>
    <row r="440" spans="1:13">
      <c r="A440" s="81"/>
      <c r="B440" s="251"/>
      <c r="C440" s="257"/>
      <c r="D440" s="257"/>
      <c r="E440" s="259"/>
      <c r="F440" s="81" t="s">
        <v>85</v>
      </c>
      <c r="G440" s="81" t="s">
        <v>86</v>
      </c>
      <c r="H440" s="81">
        <v>1</v>
      </c>
      <c r="I440" s="41">
        <v>3500000</v>
      </c>
      <c r="J440" s="41">
        <v>3285000</v>
      </c>
      <c r="K440" s="41"/>
      <c r="L440" s="81"/>
      <c r="M440" s="33">
        <f>8085000-J439-J440</f>
        <v>0</v>
      </c>
    </row>
    <row r="441" spans="1:13">
      <c r="A441" s="81"/>
      <c r="B441" s="251"/>
      <c r="C441" s="257"/>
      <c r="D441" s="257"/>
      <c r="E441" s="259"/>
      <c r="F441" s="257" t="s">
        <v>87</v>
      </c>
      <c r="G441" s="79" t="s">
        <v>88</v>
      </c>
      <c r="H441" s="79">
        <v>2</v>
      </c>
      <c r="I441" s="31">
        <v>3450000</v>
      </c>
      <c r="J441" s="67">
        <f>I441*H441</f>
        <v>6900000</v>
      </c>
      <c r="K441" s="41">
        <v>850000</v>
      </c>
      <c r="L441" s="81"/>
    </row>
    <row r="442" spans="1:13">
      <c r="A442" s="81"/>
      <c r="B442" s="251"/>
      <c r="C442" s="257"/>
      <c r="D442" s="257"/>
      <c r="E442" s="259"/>
      <c r="F442" s="257"/>
      <c r="G442" s="79" t="s">
        <v>89</v>
      </c>
      <c r="H442" s="79">
        <v>2</v>
      </c>
      <c r="I442" s="31">
        <v>3450000</v>
      </c>
      <c r="J442" s="67">
        <f t="shared" ref="J442" si="53">I442*H442</f>
        <v>6900000</v>
      </c>
      <c r="K442" s="41"/>
      <c r="L442" s="81"/>
      <c r="M442" s="33">
        <f>17952000-J441-J442-J443</f>
        <v>0</v>
      </c>
    </row>
    <row r="443" spans="1:13">
      <c r="A443" s="81"/>
      <c r="B443" s="251"/>
      <c r="C443" s="257"/>
      <c r="D443" s="257"/>
      <c r="E443" s="260"/>
      <c r="F443" s="79" t="s">
        <v>90</v>
      </c>
      <c r="G443" s="79" t="s">
        <v>91</v>
      </c>
      <c r="H443" s="79">
        <v>2</v>
      </c>
      <c r="I443" s="31">
        <f>4152000/2</f>
        <v>2076000</v>
      </c>
      <c r="J443" s="67">
        <f>I443*H443</f>
        <v>4152000</v>
      </c>
      <c r="K443" s="41"/>
      <c r="L443" s="81"/>
      <c r="M443" s="33">
        <f>SUM(J437:J443)</f>
        <v>41910000</v>
      </c>
    </row>
    <row r="444" spans="1:13">
      <c r="A444" s="81"/>
      <c r="B444" s="251"/>
      <c r="C444" s="79"/>
      <c r="D444" s="86"/>
      <c r="E444" s="81"/>
      <c r="F444" s="81" t="s">
        <v>276</v>
      </c>
      <c r="G444" s="81"/>
      <c r="H444" s="81">
        <v>1</v>
      </c>
      <c r="I444" s="41">
        <v>700000</v>
      </c>
      <c r="J444" s="97">
        <f>I444</f>
        <v>700000</v>
      </c>
      <c r="K444" s="41"/>
      <c r="L444" s="81"/>
    </row>
    <row r="445" spans="1:13">
      <c r="A445" s="81"/>
      <c r="B445" s="251"/>
      <c r="C445" s="79"/>
      <c r="D445" s="86"/>
      <c r="E445" s="81"/>
      <c r="F445" s="81" t="s">
        <v>30</v>
      </c>
      <c r="G445" s="81"/>
      <c r="H445" s="81">
        <v>1</v>
      </c>
      <c r="I445" s="41">
        <v>4500000</v>
      </c>
      <c r="J445" s="97">
        <f>I445</f>
        <v>4500000</v>
      </c>
      <c r="K445" s="41"/>
      <c r="L445" s="81"/>
    </row>
    <row r="446" spans="1:13" ht="30">
      <c r="A446" s="81"/>
      <c r="B446" s="251"/>
      <c r="C446" s="79"/>
      <c r="D446" s="86"/>
      <c r="E446" s="81"/>
      <c r="F446" s="81" t="s">
        <v>54</v>
      </c>
      <c r="G446" s="81" t="s">
        <v>70</v>
      </c>
      <c r="H446" s="81">
        <v>1</v>
      </c>
      <c r="I446" s="41">
        <v>8000000</v>
      </c>
      <c r="J446" s="41">
        <f>I446</f>
        <v>8000000</v>
      </c>
      <c r="K446" s="41"/>
      <c r="L446" s="81"/>
    </row>
    <row r="447" spans="1:13">
      <c r="A447" s="81"/>
      <c r="B447" s="251"/>
      <c r="C447" s="79" t="s">
        <v>104</v>
      </c>
      <c r="D447" s="86"/>
      <c r="E447" s="79"/>
      <c r="F447" s="79" t="s">
        <v>105</v>
      </c>
      <c r="G447" s="79" t="s">
        <v>106</v>
      </c>
      <c r="H447" s="79">
        <v>1</v>
      </c>
      <c r="I447" s="31">
        <v>3500000</v>
      </c>
      <c r="J447" s="31">
        <f t="shared" ref="J447:J448" si="54">I447</f>
        <v>3500000</v>
      </c>
      <c r="K447" s="41"/>
      <c r="L447" s="81"/>
    </row>
    <row r="448" spans="1:13" ht="30">
      <c r="A448" s="81"/>
      <c r="B448" s="251"/>
      <c r="C448" s="79" t="s">
        <v>109</v>
      </c>
      <c r="D448" s="86"/>
      <c r="E448" s="79"/>
      <c r="F448" s="79" t="s">
        <v>107</v>
      </c>
      <c r="G448" s="79"/>
      <c r="H448" s="79">
        <v>1</v>
      </c>
      <c r="I448" s="31">
        <v>995000</v>
      </c>
      <c r="J448" s="67">
        <f t="shared" si="54"/>
        <v>995000</v>
      </c>
      <c r="K448" s="41"/>
      <c r="L448" s="81"/>
    </row>
    <row r="449" spans="1:13">
      <c r="A449" s="81"/>
      <c r="B449" s="251"/>
      <c r="C449" s="79" t="s">
        <v>110</v>
      </c>
      <c r="D449" s="86"/>
      <c r="E449" s="79"/>
      <c r="F449" s="79" t="s">
        <v>108</v>
      </c>
      <c r="G449" s="79"/>
      <c r="H449" s="79">
        <v>2</v>
      </c>
      <c r="I449" s="31">
        <v>600000</v>
      </c>
      <c r="J449" s="67">
        <f>I449*H449</f>
        <v>1200000</v>
      </c>
      <c r="K449" s="41"/>
      <c r="L449" s="81"/>
    </row>
    <row r="450" spans="1:13">
      <c r="A450" s="81"/>
      <c r="B450" s="251"/>
      <c r="C450" s="79"/>
      <c r="D450" s="86"/>
      <c r="E450" s="79"/>
      <c r="F450" s="79" t="s">
        <v>170</v>
      </c>
      <c r="G450" s="79" t="s">
        <v>255</v>
      </c>
      <c r="H450" s="79">
        <v>1</v>
      </c>
      <c r="I450" s="31">
        <v>5000000</v>
      </c>
      <c r="J450" s="31">
        <f>I450*H450</f>
        <v>5000000</v>
      </c>
      <c r="K450" s="41"/>
      <c r="L450" s="81"/>
    </row>
    <row r="451" spans="1:13">
      <c r="A451" s="81"/>
      <c r="B451" s="251"/>
      <c r="C451" s="253" t="s">
        <v>200</v>
      </c>
      <c r="D451" s="86"/>
      <c r="E451" s="81"/>
      <c r="F451" s="81" t="s">
        <v>386</v>
      </c>
      <c r="G451" s="81"/>
      <c r="H451" s="81">
        <v>1</v>
      </c>
      <c r="I451" s="41">
        <v>117993000</v>
      </c>
      <c r="J451" s="41">
        <f>I451</f>
        <v>117993000</v>
      </c>
      <c r="K451" s="41">
        <v>3000000</v>
      </c>
      <c r="L451" s="81"/>
    </row>
    <row r="452" spans="1:13">
      <c r="A452" s="81"/>
      <c r="B452" s="251"/>
      <c r="C452" s="254"/>
      <c r="D452" s="86"/>
      <c r="E452" s="81"/>
      <c r="F452" s="81" t="s">
        <v>387</v>
      </c>
      <c r="G452" s="81"/>
      <c r="H452" s="81">
        <v>1</v>
      </c>
      <c r="I452" s="41">
        <v>92000000</v>
      </c>
      <c r="J452" s="41">
        <f>I452</f>
        <v>92000000</v>
      </c>
      <c r="K452" s="41">
        <f>2400000+650000</f>
        <v>3050000</v>
      </c>
      <c r="L452" s="81"/>
      <c r="M452" s="33">
        <f>K452+J452</f>
        <v>95050000</v>
      </c>
    </row>
    <row r="453" spans="1:13">
      <c r="A453" s="81"/>
      <c r="B453" s="251"/>
      <c r="C453" s="254"/>
      <c r="D453" s="86"/>
      <c r="E453" s="81"/>
      <c r="F453" s="81" t="s">
        <v>389</v>
      </c>
      <c r="G453" s="81"/>
      <c r="H453" s="81">
        <v>1</v>
      </c>
      <c r="I453" s="41">
        <v>75900000</v>
      </c>
      <c r="J453" s="41">
        <f t="shared" ref="J453:J457" si="55">I453</f>
        <v>75900000</v>
      </c>
      <c r="K453" s="41">
        <v>2400000</v>
      </c>
      <c r="L453" s="81"/>
      <c r="M453" s="57">
        <v>347658500</v>
      </c>
    </row>
    <row r="454" spans="1:13">
      <c r="A454" s="81"/>
      <c r="B454" s="251"/>
      <c r="C454" s="254"/>
      <c r="D454" s="86"/>
      <c r="E454" s="81"/>
      <c r="F454" s="81" t="s">
        <v>388</v>
      </c>
      <c r="G454" s="81"/>
      <c r="H454" s="81">
        <v>1</v>
      </c>
      <c r="I454" s="41">
        <v>45770000</v>
      </c>
      <c r="J454" s="41">
        <f t="shared" si="55"/>
        <v>45770000</v>
      </c>
      <c r="K454" s="41">
        <v>2400000</v>
      </c>
      <c r="L454" s="81"/>
      <c r="M454" s="33">
        <f>M453-30000000-M452</f>
        <v>222608500</v>
      </c>
    </row>
    <row r="455" spans="1:13">
      <c r="A455" s="81"/>
      <c r="B455" s="251"/>
      <c r="C455" s="254"/>
      <c r="D455" s="86"/>
      <c r="E455" s="81"/>
      <c r="F455" s="81" t="s">
        <v>390</v>
      </c>
      <c r="G455" s="81"/>
      <c r="H455" s="81">
        <v>1</v>
      </c>
      <c r="I455" s="41">
        <v>64376657</v>
      </c>
      <c r="J455" s="41">
        <f t="shared" si="55"/>
        <v>64376657</v>
      </c>
      <c r="K455" s="41">
        <v>2400000</v>
      </c>
      <c r="L455" s="81"/>
    </row>
    <row r="456" spans="1:13">
      <c r="A456" s="81"/>
      <c r="B456" s="251"/>
      <c r="C456" s="254"/>
      <c r="D456" s="86"/>
      <c r="E456" s="81"/>
      <c r="F456" s="81" t="s">
        <v>391</v>
      </c>
      <c r="G456" s="81"/>
      <c r="H456" s="81">
        <v>1</v>
      </c>
      <c r="I456" s="41">
        <v>20700000</v>
      </c>
      <c r="J456" s="41">
        <f t="shared" si="55"/>
        <v>20700000</v>
      </c>
      <c r="K456" s="41">
        <v>2400000</v>
      </c>
      <c r="L456" s="81"/>
      <c r="M456" s="33">
        <f>J451+K451</f>
        <v>120993000</v>
      </c>
    </row>
    <row r="457" spans="1:13">
      <c r="A457" s="82"/>
      <c r="B457" s="252"/>
      <c r="C457" s="255"/>
      <c r="D457" s="87"/>
      <c r="E457" s="82"/>
      <c r="F457" s="82" t="s">
        <v>392</v>
      </c>
      <c r="G457" s="82"/>
      <c r="H457" s="82">
        <v>1</v>
      </c>
      <c r="I457" s="63">
        <v>37149695</v>
      </c>
      <c r="J457" s="63">
        <f t="shared" si="55"/>
        <v>37149695</v>
      </c>
      <c r="K457" s="63">
        <v>2400000</v>
      </c>
      <c r="L457" s="82"/>
    </row>
    <row r="458" spans="1:13" s="40" customFormat="1">
      <c r="A458" s="14"/>
      <c r="B458" s="14"/>
      <c r="C458" s="14"/>
      <c r="D458" s="8"/>
      <c r="E458" s="14"/>
      <c r="F458" s="14"/>
      <c r="G458" s="14"/>
      <c r="H458" s="14"/>
      <c r="I458" s="37"/>
      <c r="J458" s="38">
        <f>SUM(J425:J457)</f>
        <v>647954852</v>
      </c>
      <c r="K458" s="38">
        <f>SUM(K425:K457)</f>
        <v>20650000</v>
      </c>
      <c r="L458" s="39">
        <f>K458+J458</f>
        <v>668604852</v>
      </c>
      <c r="M458" s="98" t="e">
        <f>L458-'BM FIX'!#REF!</f>
        <v>#REF!</v>
      </c>
    </row>
    <row r="459" spans="1:13" s="48" customFormat="1">
      <c r="A459" s="92"/>
      <c r="B459" s="250" t="s">
        <v>393</v>
      </c>
      <c r="C459" s="256" t="s">
        <v>230</v>
      </c>
      <c r="D459" s="256" t="s">
        <v>394</v>
      </c>
      <c r="E459" s="313">
        <v>44515</v>
      </c>
      <c r="F459" s="92" t="s">
        <v>73</v>
      </c>
      <c r="G459" s="92" t="s">
        <v>361</v>
      </c>
      <c r="H459" s="92">
        <v>1</v>
      </c>
      <c r="I459" s="63">
        <v>9330000</v>
      </c>
      <c r="J459" s="107">
        <f>I459*H459</f>
        <v>9330000</v>
      </c>
      <c r="K459" s="107">
        <v>650000</v>
      </c>
      <c r="L459" s="108"/>
      <c r="M459" s="52"/>
    </row>
    <row r="460" spans="1:13">
      <c r="A460" s="79"/>
      <c r="B460" s="251"/>
      <c r="C460" s="257"/>
      <c r="D460" s="257"/>
      <c r="E460" s="269"/>
      <c r="F460" s="79" t="s">
        <v>33</v>
      </c>
      <c r="G460" s="79" t="s">
        <v>208</v>
      </c>
      <c r="H460" s="79">
        <v>2</v>
      </c>
      <c r="I460" s="31">
        <v>7420000</v>
      </c>
      <c r="J460" s="31">
        <f>H460*I460</f>
        <v>14840000</v>
      </c>
      <c r="K460" s="31"/>
      <c r="L460" s="79"/>
      <c r="M460" s="33" t="e">
        <f>#REF!-650000</f>
        <v>#REF!</v>
      </c>
    </row>
    <row r="461" spans="1:13">
      <c r="A461" s="91"/>
      <c r="B461" s="251"/>
      <c r="C461" s="257"/>
      <c r="D461" s="257"/>
      <c r="E461" s="269"/>
      <c r="F461" s="91" t="s">
        <v>37</v>
      </c>
      <c r="G461" s="91" t="s">
        <v>210</v>
      </c>
      <c r="H461" s="91">
        <v>2</v>
      </c>
      <c r="I461" s="31">
        <v>1820000</v>
      </c>
      <c r="J461" s="31">
        <f>H461*I461</f>
        <v>3640000</v>
      </c>
      <c r="K461" s="31"/>
      <c r="L461" s="91"/>
      <c r="M461" s="33"/>
    </row>
    <row r="462" spans="1:13">
      <c r="A462" s="91"/>
      <c r="B462" s="251"/>
      <c r="C462" s="257" t="s">
        <v>60</v>
      </c>
      <c r="D462" s="257" t="s">
        <v>395</v>
      </c>
      <c r="E462" s="269">
        <v>44448</v>
      </c>
      <c r="F462" s="91" t="s">
        <v>159</v>
      </c>
      <c r="G462" s="91"/>
      <c r="H462" s="91">
        <v>1</v>
      </c>
      <c r="I462" s="31">
        <v>7340000</v>
      </c>
      <c r="J462" s="31">
        <f>I462</f>
        <v>7340000</v>
      </c>
      <c r="K462" s="31"/>
      <c r="L462" s="91"/>
      <c r="M462" s="33"/>
    </row>
    <row r="463" spans="1:13">
      <c r="A463" s="91"/>
      <c r="B463" s="251"/>
      <c r="C463" s="257"/>
      <c r="D463" s="257"/>
      <c r="E463" s="269"/>
      <c r="F463" s="91" t="s">
        <v>94</v>
      </c>
      <c r="G463" s="91"/>
      <c r="H463" s="91">
        <v>1</v>
      </c>
      <c r="I463" s="31">
        <v>3000000</v>
      </c>
      <c r="J463" s="31">
        <f t="shared" ref="J463:J471" si="56">I463</f>
        <v>3000000</v>
      </c>
      <c r="K463" s="31"/>
      <c r="L463" s="91"/>
      <c r="M463" s="33"/>
    </row>
    <row r="464" spans="1:13">
      <c r="A464" s="91"/>
      <c r="B464" s="251"/>
      <c r="C464" s="257"/>
      <c r="D464" s="257"/>
      <c r="E464" s="269"/>
      <c r="F464" s="91" t="s">
        <v>126</v>
      </c>
      <c r="G464" s="91" t="s">
        <v>127</v>
      </c>
      <c r="H464" s="91">
        <v>1</v>
      </c>
      <c r="I464" s="31">
        <v>300000</v>
      </c>
      <c r="J464" s="31">
        <f t="shared" si="56"/>
        <v>300000</v>
      </c>
      <c r="K464" s="31"/>
      <c r="L464" s="91"/>
      <c r="M464" s="33"/>
    </row>
    <row r="465" spans="1:13">
      <c r="A465" s="91"/>
      <c r="B465" s="251"/>
      <c r="C465" s="257"/>
      <c r="D465" s="257"/>
      <c r="E465" s="269"/>
      <c r="F465" s="91" t="s">
        <v>128</v>
      </c>
      <c r="G465" s="91" t="s">
        <v>129</v>
      </c>
      <c r="H465" s="91">
        <v>1</v>
      </c>
      <c r="I465" s="31">
        <v>1200000</v>
      </c>
      <c r="J465" s="31">
        <f t="shared" si="56"/>
        <v>1200000</v>
      </c>
      <c r="K465" s="31"/>
      <c r="L465" s="91"/>
      <c r="M465" s="33"/>
    </row>
    <row r="466" spans="1:13">
      <c r="A466" s="91"/>
      <c r="B466" s="251"/>
      <c r="C466" s="257"/>
      <c r="D466" s="257"/>
      <c r="E466" s="269"/>
      <c r="F466" s="91" t="s">
        <v>65</v>
      </c>
      <c r="G466" s="91" t="s">
        <v>396</v>
      </c>
      <c r="H466" s="91">
        <v>1</v>
      </c>
      <c r="I466" s="31">
        <v>700000</v>
      </c>
      <c r="J466" s="31">
        <f t="shared" si="56"/>
        <v>700000</v>
      </c>
      <c r="K466" s="31"/>
      <c r="L466" s="91"/>
      <c r="M466" s="33"/>
    </row>
    <row r="467" spans="1:13">
      <c r="A467" s="91"/>
      <c r="B467" s="251"/>
      <c r="C467" s="257"/>
      <c r="D467" s="257"/>
      <c r="E467" s="269"/>
      <c r="F467" s="91" t="s">
        <v>130</v>
      </c>
      <c r="G467" s="51" t="s">
        <v>180</v>
      </c>
      <c r="H467" s="91">
        <v>1</v>
      </c>
      <c r="I467" s="31">
        <v>500000</v>
      </c>
      <c r="J467" s="31">
        <f t="shared" si="56"/>
        <v>500000</v>
      </c>
      <c r="K467" s="31"/>
      <c r="L467" s="91"/>
      <c r="M467" s="33"/>
    </row>
    <row r="468" spans="1:13">
      <c r="A468" s="91"/>
      <c r="B468" s="251"/>
      <c r="C468" s="257"/>
      <c r="D468" s="257"/>
      <c r="E468" s="269"/>
      <c r="F468" s="91" t="s">
        <v>132</v>
      </c>
      <c r="G468" s="91"/>
      <c r="H468" s="91">
        <v>1</v>
      </c>
      <c r="I468" s="31">
        <v>700000</v>
      </c>
      <c r="J468" s="31">
        <f t="shared" si="56"/>
        <v>700000</v>
      </c>
      <c r="K468" s="31"/>
      <c r="L468" s="91"/>
      <c r="M468" s="33"/>
    </row>
    <row r="469" spans="1:13">
      <c r="A469" s="91"/>
      <c r="B469" s="251"/>
      <c r="C469" s="257"/>
      <c r="D469" s="257"/>
      <c r="E469" s="269"/>
      <c r="F469" s="91" t="s">
        <v>277</v>
      </c>
      <c r="G469" s="91" t="s">
        <v>397</v>
      </c>
      <c r="H469" s="91">
        <v>1</v>
      </c>
      <c r="I469" s="31">
        <v>3705000</v>
      </c>
      <c r="J469" s="31">
        <f t="shared" si="56"/>
        <v>3705000</v>
      </c>
      <c r="K469" s="31"/>
      <c r="L469" s="91"/>
      <c r="M469" s="33"/>
    </row>
    <row r="470" spans="1:13">
      <c r="A470" s="91"/>
      <c r="B470" s="251"/>
      <c r="C470" s="257"/>
      <c r="D470" s="257"/>
      <c r="E470" s="269"/>
      <c r="F470" s="91" t="s">
        <v>279</v>
      </c>
      <c r="G470" s="91" t="s">
        <v>398</v>
      </c>
      <c r="H470" s="91">
        <v>1</v>
      </c>
      <c r="I470" s="31">
        <v>4000000</v>
      </c>
      <c r="J470" s="31">
        <f t="shared" si="56"/>
        <v>4000000</v>
      </c>
      <c r="K470" s="31"/>
      <c r="L470" s="91"/>
      <c r="M470" s="33"/>
    </row>
    <row r="471" spans="1:13">
      <c r="A471" s="91"/>
      <c r="B471" s="251"/>
      <c r="C471" s="257"/>
      <c r="D471" s="257"/>
      <c r="E471" s="269"/>
      <c r="F471" s="91" t="s">
        <v>399</v>
      </c>
      <c r="G471" s="91" t="s">
        <v>80</v>
      </c>
      <c r="H471" s="91">
        <v>1</v>
      </c>
      <c r="I471" s="31">
        <v>2000000</v>
      </c>
      <c r="J471" s="31">
        <f t="shared" si="56"/>
        <v>2000000</v>
      </c>
      <c r="K471" s="31"/>
      <c r="L471" s="91"/>
      <c r="M471" s="33"/>
    </row>
    <row r="472" spans="1:13">
      <c r="A472" s="91"/>
      <c r="B472" s="251"/>
      <c r="C472" s="91" t="s">
        <v>71</v>
      </c>
      <c r="D472" s="91" t="s">
        <v>400</v>
      </c>
      <c r="E472" s="95">
        <v>44432</v>
      </c>
      <c r="F472" s="91" t="s">
        <v>30</v>
      </c>
      <c r="G472" s="91" t="s">
        <v>401</v>
      </c>
      <c r="H472" s="91">
        <v>2</v>
      </c>
      <c r="I472" s="31">
        <v>4900000</v>
      </c>
      <c r="J472" s="31">
        <f t="shared" ref="J472:J479" si="57">I472*H472</f>
        <v>9800000</v>
      </c>
      <c r="K472" s="31"/>
      <c r="L472" s="91"/>
      <c r="M472" s="33"/>
    </row>
    <row r="473" spans="1:13" ht="45">
      <c r="A473" s="91"/>
      <c r="B473" s="251"/>
      <c r="C473" s="91" t="s">
        <v>78</v>
      </c>
      <c r="D473" s="91" t="s">
        <v>402</v>
      </c>
      <c r="E473" s="95">
        <v>44358</v>
      </c>
      <c r="F473" s="91" t="s">
        <v>96</v>
      </c>
      <c r="G473" s="91" t="s">
        <v>97</v>
      </c>
      <c r="H473" s="91">
        <v>1</v>
      </c>
      <c r="I473" s="31">
        <v>6990500</v>
      </c>
      <c r="J473" s="31">
        <f t="shared" si="57"/>
        <v>6990500</v>
      </c>
      <c r="K473" s="31"/>
      <c r="L473" s="91"/>
      <c r="M473" s="33"/>
    </row>
    <row r="474" spans="1:13">
      <c r="A474" s="91"/>
      <c r="B474" s="251"/>
      <c r="C474" s="257" t="s">
        <v>248</v>
      </c>
      <c r="D474" s="257" t="s">
        <v>403</v>
      </c>
      <c r="E474" s="269">
        <v>44327</v>
      </c>
      <c r="F474" s="253" t="s">
        <v>289</v>
      </c>
      <c r="G474" s="91"/>
      <c r="H474" s="91">
        <v>2</v>
      </c>
      <c r="I474" s="31">
        <v>2084000</v>
      </c>
      <c r="J474" s="31">
        <f t="shared" si="57"/>
        <v>4168000</v>
      </c>
      <c r="K474" s="31"/>
      <c r="L474" s="91"/>
      <c r="M474" s="33"/>
    </row>
    <row r="475" spans="1:13">
      <c r="A475" s="91"/>
      <c r="B475" s="251"/>
      <c r="C475" s="257"/>
      <c r="D475" s="257"/>
      <c r="E475" s="269"/>
      <c r="F475" s="266"/>
      <c r="G475" s="91"/>
      <c r="H475" s="91">
        <v>1</v>
      </c>
      <c r="I475" s="31">
        <v>2086000</v>
      </c>
      <c r="J475" s="31">
        <f t="shared" si="57"/>
        <v>2086000</v>
      </c>
      <c r="K475" s="31"/>
      <c r="L475" s="91"/>
      <c r="M475" s="33"/>
    </row>
    <row r="476" spans="1:13">
      <c r="A476" s="91"/>
      <c r="B476" s="251"/>
      <c r="C476" s="257"/>
      <c r="D476" s="257"/>
      <c r="E476" s="269"/>
      <c r="F476" s="91" t="s">
        <v>365</v>
      </c>
      <c r="G476" s="91"/>
      <c r="H476" s="91">
        <v>1</v>
      </c>
      <c r="I476" s="31">
        <v>4158000</v>
      </c>
      <c r="J476" s="31">
        <f t="shared" si="57"/>
        <v>4158000</v>
      </c>
      <c r="K476" s="31"/>
      <c r="L476" s="91"/>
      <c r="M476" s="33"/>
    </row>
    <row r="477" spans="1:13">
      <c r="A477" s="91"/>
      <c r="B477" s="251"/>
      <c r="C477" s="257"/>
      <c r="D477" s="257"/>
      <c r="E477" s="269"/>
      <c r="F477" s="91" t="s">
        <v>290</v>
      </c>
      <c r="G477" s="91"/>
      <c r="H477" s="91">
        <v>3</v>
      </c>
      <c r="I477" s="31">
        <f>5973000/3</f>
        <v>1991000</v>
      </c>
      <c r="J477" s="31">
        <f t="shared" si="57"/>
        <v>5973000</v>
      </c>
      <c r="K477" s="31"/>
      <c r="L477" s="91"/>
      <c r="M477" s="33"/>
    </row>
    <row r="478" spans="1:13">
      <c r="A478" s="91"/>
      <c r="B478" s="251"/>
      <c r="C478" s="257"/>
      <c r="D478" s="257"/>
      <c r="E478" s="269"/>
      <c r="F478" s="91" t="s">
        <v>152</v>
      </c>
      <c r="G478" s="91" t="s">
        <v>82</v>
      </c>
      <c r="H478" s="91">
        <v>74</v>
      </c>
      <c r="I478" s="31">
        <v>132000</v>
      </c>
      <c r="J478" s="31">
        <f t="shared" si="57"/>
        <v>9768000</v>
      </c>
      <c r="K478" s="31"/>
      <c r="L478" s="91"/>
      <c r="M478" s="33"/>
    </row>
    <row r="479" spans="1:13">
      <c r="A479" s="91"/>
      <c r="B479" s="251"/>
      <c r="C479" s="257"/>
      <c r="D479" s="257"/>
      <c r="E479" s="269"/>
      <c r="F479" s="91"/>
      <c r="G479" s="91"/>
      <c r="H479" s="91">
        <v>1</v>
      </c>
      <c r="I479" s="31">
        <v>131000</v>
      </c>
      <c r="J479" s="31">
        <f t="shared" si="57"/>
        <v>131000</v>
      </c>
      <c r="K479" s="31"/>
      <c r="L479" s="91"/>
      <c r="M479" s="33"/>
    </row>
    <row r="480" spans="1:13">
      <c r="A480" s="91"/>
      <c r="B480" s="251"/>
      <c r="C480" s="257"/>
      <c r="D480" s="257"/>
      <c r="E480" s="269"/>
      <c r="F480" s="91" t="s">
        <v>153</v>
      </c>
      <c r="G480" s="91" t="s">
        <v>366</v>
      </c>
      <c r="H480" s="91">
        <v>1</v>
      </c>
      <c r="I480" s="31">
        <v>5000000</v>
      </c>
      <c r="J480" s="31">
        <v>4800000</v>
      </c>
      <c r="K480" s="31"/>
      <c r="L480" s="91"/>
      <c r="M480" s="33"/>
    </row>
    <row r="481" spans="1:13">
      <c r="A481" s="91"/>
      <c r="B481" s="251"/>
      <c r="C481" s="257"/>
      <c r="D481" s="257"/>
      <c r="E481" s="269"/>
      <c r="F481" s="91" t="s">
        <v>292</v>
      </c>
      <c r="G481" s="91" t="s">
        <v>86</v>
      </c>
      <c r="H481" s="91">
        <v>1</v>
      </c>
      <c r="I481" s="31">
        <v>3500000</v>
      </c>
      <c r="J481" s="31">
        <v>3353000</v>
      </c>
      <c r="K481" s="31"/>
      <c r="L481" s="91"/>
      <c r="M481" s="33"/>
    </row>
    <row r="482" spans="1:13">
      <c r="A482" s="91"/>
      <c r="B482" s="251"/>
      <c r="C482" s="257"/>
      <c r="D482" s="257"/>
      <c r="E482" s="269"/>
      <c r="F482" s="257" t="s">
        <v>87</v>
      </c>
      <c r="G482" s="91" t="s">
        <v>88</v>
      </c>
      <c r="H482" s="91">
        <v>2</v>
      </c>
      <c r="I482" s="31">
        <v>3450000</v>
      </c>
      <c r="J482" s="67">
        <f>I482*H482</f>
        <v>6900000</v>
      </c>
      <c r="K482" s="31">
        <v>650000</v>
      </c>
      <c r="L482" s="91"/>
      <c r="M482" s="33"/>
    </row>
    <row r="483" spans="1:13">
      <c r="A483" s="91"/>
      <c r="B483" s="251"/>
      <c r="C483" s="257"/>
      <c r="D483" s="257"/>
      <c r="E483" s="269"/>
      <c r="F483" s="257"/>
      <c r="G483" s="91" t="s">
        <v>89</v>
      </c>
      <c r="H483" s="91">
        <v>2</v>
      </c>
      <c r="I483" s="31">
        <v>3450000</v>
      </c>
      <c r="J483" s="67">
        <f t="shared" ref="J483:J484" si="58">I483*H483</f>
        <v>6900000</v>
      </c>
      <c r="K483" s="31"/>
      <c r="L483" s="91"/>
      <c r="M483" s="33"/>
    </row>
    <row r="484" spans="1:13">
      <c r="A484" s="91"/>
      <c r="B484" s="251"/>
      <c r="C484" s="257"/>
      <c r="D484" s="257"/>
      <c r="E484" s="269"/>
      <c r="F484" s="91" t="s">
        <v>90</v>
      </c>
      <c r="G484" s="91" t="s">
        <v>91</v>
      </c>
      <c r="H484" s="91">
        <v>2</v>
      </c>
      <c r="I484" s="31">
        <f>4063000/2</f>
        <v>2031500</v>
      </c>
      <c r="J484" s="67">
        <f t="shared" si="58"/>
        <v>4063000</v>
      </c>
      <c r="K484" s="31"/>
      <c r="L484" s="91"/>
      <c r="M484" s="33"/>
    </row>
    <row r="485" spans="1:13" ht="30">
      <c r="A485" s="91"/>
      <c r="B485" s="251"/>
      <c r="C485" s="91"/>
      <c r="D485" s="93"/>
      <c r="E485" s="91"/>
      <c r="F485" s="91" t="s">
        <v>280</v>
      </c>
      <c r="G485" s="91" t="s">
        <v>70</v>
      </c>
      <c r="H485" s="91">
        <v>1</v>
      </c>
      <c r="I485" s="31">
        <v>8000000</v>
      </c>
      <c r="J485" s="31">
        <f>I485</f>
        <v>8000000</v>
      </c>
      <c r="K485" s="31"/>
      <c r="L485" s="91"/>
      <c r="M485" s="33"/>
    </row>
    <row r="486" spans="1:13">
      <c r="A486" s="91"/>
      <c r="B486" s="251"/>
      <c r="C486" s="91"/>
      <c r="D486" s="93"/>
      <c r="E486" s="91"/>
      <c r="F486" s="91" t="s">
        <v>35</v>
      </c>
      <c r="G486" s="91"/>
      <c r="H486" s="91">
        <v>1</v>
      </c>
      <c r="I486" s="31">
        <v>7000000</v>
      </c>
      <c r="J486" s="31">
        <f>I486</f>
        <v>7000000</v>
      </c>
      <c r="K486" s="31"/>
      <c r="L486" s="91"/>
      <c r="M486" s="33"/>
    </row>
    <row r="487" spans="1:13">
      <c r="A487" s="91"/>
      <c r="B487" s="251"/>
      <c r="C487" s="91" t="s">
        <v>104</v>
      </c>
      <c r="D487" s="93"/>
      <c r="E487" s="91"/>
      <c r="F487" s="91" t="s">
        <v>105</v>
      </c>
      <c r="G487" s="91" t="s">
        <v>106</v>
      </c>
      <c r="H487" s="91">
        <v>1</v>
      </c>
      <c r="I487" s="31">
        <v>3500000</v>
      </c>
      <c r="J487" s="31">
        <f t="shared" ref="J487:J488" si="59">I487</f>
        <v>3500000</v>
      </c>
      <c r="K487" s="31"/>
      <c r="L487" s="91"/>
      <c r="M487" s="33"/>
    </row>
    <row r="488" spans="1:13" ht="30">
      <c r="A488" s="91"/>
      <c r="B488" s="251"/>
      <c r="C488" s="91" t="s">
        <v>109</v>
      </c>
      <c r="D488" s="93"/>
      <c r="E488" s="91"/>
      <c r="F488" s="91" t="s">
        <v>107</v>
      </c>
      <c r="G488" s="91"/>
      <c r="H488" s="91">
        <v>1</v>
      </c>
      <c r="I488" s="31">
        <v>995000</v>
      </c>
      <c r="J488" s="67">
        <f t="shared" si="59"/>
        <v>995000</v>
      </c>
      <c r="K488" s="31"/>
      <c r="L488" s="91"/>
      <c r="M488" s="33"/>
    </row>
    <row r="489" spans="1:13">
      <c r="A489" s="91"/>
      <c r="B489" s="251"/>
      <c r="C489" s="91" t="s">
        <v>110</v>
      </c>
      <c r="D489" s="93"/>
      <c r="E489" s="91"/>
      <c r="F489" s="91" t="s">
        <v>108</v>
      </c>
      <c r="G489" s="91"/>
      <c r="H489" s="91">
        <v>2</v>
      </c>
      <c r="I489" s="31">
        <v>600000</v>
      </c>
      <c r="J489" s="67">
        <f>I489*H489</f>
        <v>1200000</v>
      </c>
      <c r="K489" s="31"/>
      <c r="L489" s="91"/>
      <c r="M489" s="33"/>
    </row>
    <row r="490" spans="1:13">
      <c r="A490" s="91"/>
      <c r="B490" s="251"/>
      <c r="C490" s="91"/>
      <c r="D490" s="93"/>
      <c r="E490" s="91"/>
      <c r="F490" s="91" t="s">
        <v>170</v>
      </c>
      <c r="G490" s="91" t="s">
        <v>255</v>
      </c>
      <c r="H490" s="91">
        <v>1</v>
      </c>
      <c r="I490" s="31">
        <v>5000000</v>
      </c>
      <c r="J490" s="31">
        <f>I490*H490</f>
        <v>5000000</v>
      </c>
      <c r="K490" s="31"/>
      <c r="L490" s="91"/>
      <c r="M490" s="33"/>
    </row>
    <row r="491" spans="1:13">
      <c r="A491" s="91"/>
      <c r="B491" s="251"/>
      <c r="C491" s="257" t="s">
        <v>200</v>
      </c>
      <c r="D491" s="93"/>
      <c r="E491" s="91"/>
      <c r="F491" s="91" t="s">
        <v>404</v>
      </c>
      <c r="G491" s="91"/>
      <c r="H491" s="91">
        <v>1</v>
      </c>
      <c r="I491" s="31">
        <v>41150000</v>
      </c>
      <c r="J491" s="31">
        <f t="shared" ref="J491:J497" si="60">I491</f>
        <v>41150000</v>
      </c>
      <c r="K491" s="31">
        <v>2850000</v>
      </c>
      <c r="L491" s="91"/>
      <c r="M491" s="33"/>
    </row>
    <row r="492" spans="1:13">
      <c r="A492" s="91"/>
      <c r="B492" s="251"/>
      <c r="C492" s="257"/>
      <c r="D492" s="93"/>
      <c r="E492" s="91"/>
      <c r="F492" s="91" t="s">
        <v>405</v>
      </c>
      <c r="G492" s="91"/>
      <c r="H492" s="91">
        <v>1</v>
      </c>
      <c r="I492" s="31">
        <v>65017025</v>
      </c>
      <c r="J492" s="31">
        <f t="shared" si="60"/>
        <v>65017025</v>
      </c>
      <c r="K492" s="31">
        <v>2850000</v>
      </c>
      <c r="L492" s="91"/>
      <c r="M492" s="33"/>
    </row>
    <row r="493" spans="1:13">
      <c r="A493" s="91"/>
      <c r="B493" s="251"/>
      <c r="C493" s="257"/>
      <c r="D493" s="93"/>
      <c r="E493" s="91"/>
      <c r="F493" s="91" t="s">
        <v>406</v>
      </c>
      <c r="G493" s="91"/>
      <c r="H493" s="91">
        <v>1</v>
      </c>
      <c r="I493" s="31">
        <v>56800000</v>
      </c>
      <c r="J493" s="31">
        <f t="shared" si="60"/>
        <v>56800000</v>
      </c>
      <c r="K493" s="31">
        <v>2600000</v>
      </c>
      <c r="L493" s="32"/>
      <c r="M493" s="33"/>
    </row>
    <row r="494" spans="1:13">
      <c r="A494" s="91"/>
      <c r="B494" s="251"/>
      <c r="C494" s="257"/>
      <c r="D494" s="93"/>
      <c r="E494" s="91"/>
      <c r="F494" s="91" t="s">
        <v>407</v>
      </c>
      <c r="G494" s="91"/>
      <c r="H494" s="91">
        <v>1</v>
      </c>
      <c r="I494" s="31">
        <v>57000000</v>
      </c>
      <c r="J494" s="31">
        <f t="shared" si="60"/>
        <v>57000000</v>
      </c>
      <c r="K494" s="31">
        <v>2600000</v>
      </c>
      <c r="L494" s="91"/>
      <c r="M494" s="33">
        <f>176735000-I493-I494-I495</f>
        <v>7800000</v>
      </c>
    </row>
    <row r="495" spans="1:13">
      <c r="A495" s="79"/>
      <c r="B495" s="251"/>
      <c r="C495" s="257"/>
      <c r="D495" s="93"/>
      <c r="E495" s="91"/>
      <c r="F495" s="79" t="s">
        <v>408</v>
      </c>
      <c r="G495" s="79"/>
      <c r="H495" s="79">
        <v>1</v>
      </c>
      <c r="I495" s="31">
        <v>55135000</v>
      </c>
      <c r="J495" s="31">
        <f t="shared" si="60"/>
        <v>55135000</v>
      </c>
      <c r="K495" s="31">
        <v>2600000</v>
      </c>
      <c r="L495" s="79"/>
      <c r="M495" s="33">
        <f>M494/3</f>
        <v>2600000</v>
      </c>
    </row>
    <row r="496" spans="1:13">
      <c r="A496" s="79"/>
      <c r="B496" s="251"/>
      <c r="C496" s="257"/>
      <c r="D496" s="93"/>
      <c r="E496" s="91"/>
      <c r="F496" s="79" t="s">
        <v>409</v>
      </c>
      <c r="G496" s="79"/>
      <c r="H496" s="79">
        <v>1</v>
      </c>
      <c r="I496" s="31">
        <v>59361655</v>
      </c>
      <c r="J496" s="31">
        <f t="shared" si="60"/>
        <v>59361655</v>
      </c>
      <c r="K496" s="31">
        <v>2700000</v>
      </c>
      <c r="L496" s="79"/>
    </row>
    <row r="497" spans="1:13">
      <c r="A497" s="89"/>
      <c r="B497" s="252"/>
      <c r="C497" s="267"/>
      <c r="D497" s="94"/>
      <c r="E497" s="96"/>
      <c r="F497" s="89" t="s">
        <v>410</v>
      </c>
      <c r="G497" s="89"/>
      <c r="H497" s="89">
        <v>1</v>
      </c>
      <c r="I497" s="35">
        <v>62600000</v>
      </c>
      <c r="J497" s="35">
        <f t="shared" si="60"/>
        <v>62600000</v>
      </c>
      <c r="K497" s="35">
        <v>2700000</v>
      </c>
      <c r="L497" s="89"/>
      <c r="M497" s="33">
        <f>127361655-J496-J497</f>
        <v>5400000</v>
      </c>
    </row>
    <row r="498" spans="1:13" s="40" customFormat="1">
      <c r="A498" s="14"/>
      <c r="B498" s="14"/>
      <c r="C498" s="14"/>
      <c r="D498" s="8"/>
      <c r="E498" s="14"/>
      <c r="F498" s="14"/>
      <c r="G498" s="14"/>
      <c r="H498" s="14"/>
      <c r="I498" s="37"/>
      <c r="J498" s="38">
        <f>SUM(J459:J497)</f>
        <v>543104180</v>
      </c>
      <c r="K498" s="38">
        <f>SUM(K459:K497)</f>
        <v>20200000</v>
      </c>
      <c r="L498" s="39">
        <f>K498+J498</f>
        <v>563304180</v>
      </c>
      <c r="M498" s="46" t="e">
        <f>L498-'BM FIX'!#REF!</f>
        <v>#REF!</v>
      </c>
    </row>
    <row r="499" spans="1:13">
      <c r="A499" s="90"/>
      <c r="B499" s="250" t="s">
        <v>411</v>
      </c>
      <c r="C499" s="256" t="s">
        <v>184</v>
      </c>
      <c r="D499" s="256" t="s">
        <v>412</v>
      </c>
      <c r="E499" s="313">
        <v>44525</v>
      </c>
      <c r="F499" s="90" t="s">
        <v>73</v>
      </c>
      <c r="G499" s="90" t="s">
        <v>413</v>
      </c>
      <c r="H499" s="90">
        <v>2</v>
      </c>
      <c r="I499" s="41">
        <v>9300000</v>
      </c>
      <c r="J499" s="19">
        <f>I499*H499</f>
        <v>18600000</v>
      </c>
      <c r="K499" s="41">
        <v>900000</v>
      </c>
      <c r="L499" s="90"/>
    </row>
    <row r="500" spans="1:13">
      <c r="A500" s="79"/>
      <c r="B500" s="251"/>
      <c r="C500" s="257"/>
      <c r="D500" s="257"/>
      <c r="E500" s="269"/>
      <c r="F500" s="253" t="s">
        <v>33</v>
      </c>
      <c r="G500" s="79" t="s">
        <v>325</v>
      </c>
      <c r="H500" s="79">
        <v>1</v>
      </c>
      <c r="I500" s="31">
        <v>8700000</v>
      </c>
      <c r="J500" s="19">
        <v>8700000</v>
      </c>
      <c r="K500" s="31"/>
      <c r="L500" s="79"/>
      <c r="M500" s="33">
        <f>J500+J501</f>
        <v>17250000</v>
      </c>
    </row>
    <row r="501" spans="1:13">
      <c r="A501" s="79"/>
      <c r="B501" s="251"/>
      <c r="C501" s="257"/>
      <c r="D501" s="257"/>
      <c r="E501" s="269"/>
      <c r="F501" s="266"/>
      <c r="G501" s="91" t="s">
        <v>378</v>
      </c>
      <c r="H501" s="79">
        <v>1</v>
      </c>
      <c r="I501" s="31">
        <v>8550000</v>
      </c>
      <c r="J501" s="19">
        <f t="shared" ref="J501:J509" si="61">I501*H501</f>
        <v>8550000</v>
      </c>
      <c r="K501" s="31"/>
      <c r="L501" s="79"/>
    </row>
    <row r="502" spans="1:13">
      <c r="A502" s="79"/>
      <c r="B502" s="251"/>
      <c r="C502" s="257"/>
      <c r="D502" s="257"/>
      <c r="E502" s="269"/>
      <c r="F502" s="79" t="s">
        <v>37</v>
      </c>
      <c r="G502" s="79" t="s">
        <v>414</v>
      </c>
      <c r="H502" s="79">
        <v>1</v>
      </c>
      <c r="I502" s="31">
        <v>8950000</v>
      </c>
      <c r="J502" s="19">
        <f t="shared" si="61"/>
        <v>8950000</v>
      </c>
      <c r="K502" s="31"/>
      <c r="L502" s="79"/>
    </row>
    <row r="503" spans="1:13">
      <c r="A503" s="79"/>
      <c r="B503" s="251"/>
      <c r="C503" s="257"/>
      <c r="D503" s="257"/>
      <c r="E503" s="269"/>
      <c r="F503" s="79" t="s">
        <v>35</v>
      </c>
      <c r="G503" s="79" t="s">
        <v>414</v>
      </c>
      <c r="H503" s="79">
        <v>1</v>
      </c>
      <c r="I503" s="31">
        <v>6950000</v>
      </c>
      <c r="J503" s="19">
        <f t="shared" si="61"/>
        <v>6950000</v>
      </c>
      <c r="K503" s="31"/>
      <c r="L503" s="79"/>
    </row>
    <row r="504" spans="1:13">
      <c r="A504" s="79"/>
      <c r="B504" s="251"/>
      <c r="C504" s="257" t="s">
        <v>60</v>
      </c>
      <c r="D504" s="257" t="s">
        <v>415</v>
      </c>
      <c r="E504" s="269">
        <v>44448</v>
      </c>
      <c r="F504" s="79" t="s">
        <v>159</v>
      </c>
      <c r="G504" s="79"/>
      <c r="H504" s="79">
        <v>1</v>
      </c>
      <c r="I504" s="31">
        <v>7340000</v>
      </c>
      <c r="J504" s="67">
        <f t="shared" si="61"/>
        <v>7340000</v>
      </c>
      <c r="K504" s="31"/>
      <c r="L504" s="79"/>
    </row>
    <row r="505" spans="1:13">
      <c r="A505" s="91"/>
      <c r="B505" s="251"/>
      <c r="C505" s="257"/>
      <c r="D505" s="257"/>
      <c r="E505" s="269"/>
      <c r="F505" s="91" t="s">
        <v>65</v>
      </c>
      <c r="G505" s="91"/>
      <c r="H505" s="91">
        <v>1</v>
      </c>
      <c r="I505" s="31">
        <v>700000</v>
      </c>
      <c r="J505" s="20">
        <f t="shared" si="61"/>
        <v>700000</v>
      </c>
      <c r="K505" s="31"/>
      <c r="L505" s="91"/>
    </row>
    <row r="506" spans="1:13">
      <c r="A506" s="99"/>
      <c r="B506" s="251"/>
      <c r="C506" s="257"/>
      <c r="D506" s="257"/>
      <c r="E506" s="269"/>
      <c r="F506" s="99" t="s">
        <v>128</v>
      </c>
      <c r="G506" s="99"/>
      <c r="H506" s="99">
        <v>1</v>
      </c>
      <c r="I506" s="31">
        <v>1200000</v>
      </c>
      <c r="J506" s="20">
        <f t="shared" si="61"/>
        <v>1200000</v>
      </c>
      <c r="K506" s="31"/>
      <c r="L506" s="99"/>
    </row>
    <row r="507" spans="1:13">
      <c r="A507" s="91"/>
      <c r="B507" s="251"/>
      <c r="C507" s="257"/>
      <c r="D507" s="257"/>
      <c r="E507" s="269"/>
      <c r="F507" s="91" t="s">
        <v>130</v>
      </c>
      <c r="G507" s="91"/>
      <c r="H507" s="91">
        <v>1</v>
      </c>
      <c r="I507" s="31">
        <v>500000</v>
      </c>
      <c r="J507" s="20">
        <f t="shared" si="61"/>
        <v>500000</v>
      </c>
      <c r="K507" s="31"/>
      <c r="L507" s="91"/>
    </row>
    <row r="508" spans="1:13">
      <c r="A508" s="91"/>
      <c r="B508" s="251"/>
      <c r="C508" s="257"/>
      <c r="D508" s="257"/>
      <c r="E508" s="269"/>
      <c r="F508" s="91" t="s">
        <v>148</v>
      </c>
      <c r="G508" s="91"/>
      <c r="H508" s="91">
        <v>2</v>
      </c>
      <c r="I508" s="31">
        <v>600000</v>
      </c>
      <c r="J508" s="20">
        <f t="shared" si="61"/>
        <v>1200000</v>
      </c>
      <c r="K508" s="31"/>
      <c r="L508" s="91"/>
    </row>
    <row r="509" spans="1:13" ht="30">
      <c r="A509" s="91"/>
      <c r="B509" s="251"/>
      <c r="C509" s="99"/>
      <c r="D509" s="99"/>
      <c r="E509" s="104"/>
      <c r="F509" s="91" t="s">
        <v>280</v>
      </c>
      <c r="G509" s="91" t="s">
        <v>70</v>
      </c>
      <c r="H509" s="91">
        <v>1</v>
      </c>
      <c r="I509" s="31">
        <v>8000000</v>
      </c>
      <c r="J509" s="20">
        <f t="shared" si="61"/>
        <v>8000000</v>
      </c>
      <c r="K509" s="31"/>
      <c r="L509" s="91"/>
    </row>
    <row r="510" spans="1:13">
      <c r="A510" s="91"/>
      <c r="B510" s="251"/>
      <c r="C510" s="99" t="s">
        <v>104</v>
      </c>
      <c r="D510" s="103"/>
      <c r="E510" s="99"/>
      <c r="F510" s="91" t="s">
        <v>105</v>
      </c>
      <c r="G510" s="91" t="s">
        <v>106</v>
      </c>
      <c r="H510" s="91">
        <v>1</v>
      </c>
      <c r="I510" s="31">
        <v>3500000</v>
      </c>
      <c r="J510" s="20">
        <f t="shared" ref="J510:J511" si="62">I510</f>
        <v>3500000</v>
      </c>
      <c r="K510" s="31"/>
      <c r="L510" s="91"/>
    </row>
    <row r="511" spans="1:13" ht="30">
      <c r="A511" s="91"/>
      <c r="B511" s="251"/>
      <c r="C511" s="99" t="s">
        <v>109</v>
      </c>
      <c r="D511" s="103"/>
      <c r="E511" s="99"/>
      <c r="F511" s="91" t="s">
        <v>107</v>
      </c>
      <c r="G511" s="91"/>
      <c r="H511" s="91">
        <v>1</v>
      </c>
      <c r="I511" s="31">
        <v>995000</v>
      </c>
      <c r="J511" s="20">
        <f t="shared" si="62"/>
        <v>995000</v>
      </c>
      <c r="K511" s="31"/>
      <c r="L511" s="91"/>
    </row>
    <row r="512" spans="1:13">
      <c r="A512" s="68"/>
      <c r="B512" s="251"/>
      <c r="C512" s="99" t="s">
        <v>110</v>
      </c>
      <c r="D512" s="103"/>
      <c r="E512" s="99"/>
      <c r="F512" s="91" t="s">
        <v>108</v>
      </c>
      <c r="G512" s="91"/>
      <c r="H512" s="91">
        <v>2</v>
      </c>
      <c r="I512" s="31">
        <v>600000</v>
      </c>
      <c r="J512" s="20">
        <f>I512*H512</f>
        <v>1200000</v>
      </c>
      <c r="K512" s="31"/>
      <c r="L512" s="68"/>
    </row>
    <row r="513" spans="1:13">
      <c r="A513" s="68"/>
      <c r="B513" s="251"/>
      <c r="C513" s="99"/>
      <c r="D513" s="103"/>
      <c r="E513" s="99"/>
      <c r="F513" s="91" t="s">
        <v>170</v>
      </c>
      <c r="G513" s="91" t="s">
        <v>255</v>
      </c>
      <c r="H513" s="91">
        <v>1</v>
      </c>
      <c r="I513" s="31">
        <v>5000000</v>
      </c>
      <c r="J513" s="20">
        <f>I513*H513</f>
        <v>5000000</v>
      </c>
      <c r="K513" s="31"/>
      <c r="L513" s="68"/>
    </row>
    <row r="514" spans="1:13">
      <c r="A514" s="91"/>
      <c r="B514" s="251"/>
      <c r="C514" s="99"/>
      <c r="D514" s="103"/>
      <c r="E514" s="99"/>
      <c r="F514" s="91" t="s">
        <v>30</v>
      </c>
      <c r="G514" s="91"/>
      <c r="H514" s="91">
        <v>2</v>
      </c>
      <c r="I514" s="31">
        <v>5000000</v>
      </c>
      <c r="J514" s="20">
        <f>I514*H514</f>
        <v>10000000</v>
      </c>
      <c r="K514" s="31">
        <v>850000</v>
      </c>
      <c r="L514" s="91"/>
    </row>
    <row r="515" spans="1:13">
      <c r="A515" s="91"/>
      <c r="B515" s="251"/>
      <c r="C515" s="257" t="s">
        <v>248</v>
      </c>
      <c r="D515" s="257" t="s">
        <v>416</v>
      </c>
      <c r="E515" s="269">
        <v>44327</v>
      </c>
      <c r="F515" s="91" t="s">
        <v>289</v>
      </c>
      <c r="G515" s="91"/>
      <c r="H515" s="91">
        <v>4</v>
      </c>
      <c r="I515" s="31">
        <v>2172375</v>
      </c>
      <c r="J515" s="20">
        <f>I515*H515</f>
        <v>8689500</v>
      </c>
      <c r="K515" s="31"/>
      <c r="L515" s="91"/>
    </row>
    <row r="516" spans="1:13">
      <c r="A516" s="91"/>
      <c r="B516" s="251"/>
      <c r="C516" s="257"/>
      <c r="D516" s="257"/>
      <c r="E516" s="269"/>
      <c r="F516" s="91" t="s">
        <v>365</v>
      </c>
      <c r="G516" s="91"/>
      <c r="H516" s="91">
        <v>1</v>
      </c>
      <c r="I516" s="31">
        <v>4487500</v>
      </c>
      <c r="J516" s="20">
        <f t="shared" ref="J516:J520" si="63">I516*H516</f>
        <v>4487500</v>
      </c>
      <c r="K516" s="31"/>
      <c r="L516" s="91"/>
    </row>
    <row r="517" spans="1:13">
      <c r="A517" s="91"/>
      <c r="B517" s="251"/>
      <c r="C517" s="257"/>
      <c r="D517" s="257"/>
      <c r="E517" s="269"/>
      <c r="F517" s="91" t="s">
        <v>46</v>
      </c>
      <c r="G517" s="91"/>
      <c r="H517" s="91">
        <v>4</v>
      </c>
      <c r="I517" s="31">
        <v>1990875</v>
      </c>
      <c r="J517" s="20">
        <f t="shared" si="63"/>
        <v>7963500</v>
      </c>
      <c r="K517" s="31"/>
      <c r="L517" s="91"/>
    </row>
    <row r="518" spans="1:13">
      <c r="A518" s="91"/>
      <c r="B518" s="251"/>
      <c r="C518" s="257"/>
      <c r="D518" s="257"/>
      <c r="E518" s="269"/>
      <c r="F518" s="253" t="s">
        <v>152</v>
      </c>
      <c r="G518" s="91" t="s">
        <v>82</v>
      </c>
      <c r="H518" s="91">
        <v>69</v>
      </c>
      <c r="I518" s="31">
        <v>126480</v>
      </c>
      <c r="J518" s="20">
        <f t="shared" si="63"/>
        <v>8727120</v>
      </c>
      <c r="K518" s="31"/>
      <c r="L518" s="32"/>
    </row>
    <row r="519" spans="1:13">
      <c r="A519" s="91"/>
      <c r="B519" s="251"/>
      <c r="C519" s="257"/>
      <c r="D519" s="257"/>
      <c r="E519" s="269"/>
      <c r="F519" s="266"/>
      <c r="G519" s="91"/>
      <c r="H519" s="91">
        <v>1</v>
      </c>
      <c r="I519" s="31">
        <v>126880</v>
      </c>
      <c r="J519" s="20">
        <f t="shared" si="63"/>
        <v>126880</v>
      </c>
      <c r="K519" s="31"/>
      <c r="L519" s="91"/>
    </row>
    <row r="520" spans="1:13">
      <c r="A520" s="91"/>
      <c r="B520" s="251"/>
      <c r="C520" s="257"/>
      <c r="D520" s="257"/>
      <c r="E520" s="269"/>
      <c r="F520" s="91" t="s">
        <v>153</v>
      </c>
      <c r="G520" s="91" t="s">
        <v>366</v>
      </c>
      <c r="H520" s="91">
        <v>1</v>
      </c>
      <c r="I520" s="31">
        <v>4900000</v>
      </c>
      <c r="J520" s="20">
        <f t="shared" si="63"/>
        <v>4900000</v>
      </c>
      <c r="K520" s="31"/>
      <c r="L520" s="91"/>
    </row>
    <row r="521" spans="1:13">
      <c r="A521" s="91"/>
      <c r="B521" s="251"/>
      <c r="C521" s="257"/>
      <c r="D521" s="257"/>
      <c r="E521" s="269"/>
      <c r="F521" s="91" t="s">
        <v>85</v>
      </c>
      <c r="G521" s="91" t="s">
        <v>86</v>
      </c>
      <c r="H521" s="91">
        <v>1</v>
      </c>
      <c r="I521" s="31">
        <v>3371000</v>
      </c>
      <c r="J521" s="20">
        <f>I521</f>
        <v>3371000</v>
      </c>
      <c r="K521" s="31"/>
      <c r="L521" s="32"/>
    </row>
    <row r="522" spans="1:13">
      <c r="A522" s="91"/>
      <c r="B522" s="251"/>
      <c r="C522" s="257"/>
      <c r="D522" s="257"/>
      <c r="E522" s="269"/>
      <c r="F522" s="257" t="s">
        <v>87</v>
      </c>
      <c r="G522" s="91" t="s">
        <v>88</v>
      </c>
      <c r="H522" s="91">
        <v>2</v>
      </c>
      <c r="I522" s="31">
        <v>3450000</v>
      </c>
      <c r="J522" s="20">
        <f>I522*H522</f>
        <v>6900000</v>
      </c>
      <c r="K522" s="31">
        <v>900000</v>
      </c>
      <c r="L522" s="32"/>
    </row>
    <row r="523" spans="1:13">
      <c r="A523" s="91"/>
      <c r="B523" s="251"/>
      <c r="C523" s="257"/>
      <c r="D523" s="257"/>
      <c r="E523" s="269"/>
      <c r="F523" s="257"/>
      <c r="G523" s="91" t="s">
        <v>89</v>
      </c>
      <c r="H523" s="91">
        <v>2</v>
      </c>
      <c r="I523" s="31">
        <v>3450000</v>
      </c>
      <c r="J523" s="20">
        <f t="shared" ref="J523" si="64">I523*H523</f>
        <v>6900000</v>
      </c>
      <c r="K523" s="31"/>
      <c r="L523" s="91"/>
    </row>
    <row r="524" spans="1:13">
      <c r="A524" s="91"/>
      <c r="B524" s="251"/>
      <c r="C524" s="257"/>
      <c r="D524" s="257"/>
      <c r="E524" s="269"/>
      <c r="F524" s="91" t="s">
        <v>90</v>
      </c>
      <c r="G524" s="91" t="s">
        <v>91</v>
      </c>
      <c r="H524" s="91">
        <v>2</v>
      </c>
      <c r="I524" s="31">
        <v>2042250</v>
      </c>
      <c r="J524" s="20">
        <f t="shared" ref="J524:J536" si="65">I524*H524</f>
        <v>4084500</v>
      </c>
      <c r="K524" s="31"/>
      <c r="L524" s="91"/>
      <c r="M524" s="33">
        <f>J530+J529+K529+K530</f>
        <v>130240263</v>
      </c>
    </row>
    <row r="525" spans="1:13">
      <c r="A525" s="99"/>
      <c r="B525" s="251"/>
      <c r="C525" s="99"/>
      <c r="D525" s="99"/>
      <c r="E525" s="104"/>
      <c r="F525" s="99" t="s">
        <v>94</v>
      </c>
      <c r="G525" s="99"/>
      <c r="H525" s="99">
        <v>1</v>
      </c>
      <c r="I525" s="31">
        <v>5000000</v>
      </c>
      <c r="J525" s="67">
        <f t="shared" si="65"/>
        <v>5000000</v>
      </c>
      <c r="K525" s="31"/>
      <c r="L525" s="99"/>
      <c r="M525" s="33"/>
    </row>
    <row r="526" spans="1:13">
      <c r="A526" s="99"/>
      <c r="B526" s="251"/>
      <c r="C526" s="99"/>
      <c r="D526" s="99"/>
      <c r="E526" s="104"/>
      <c r="F526" s="99" t="s">
        <v>96</v>
      </c>
      <c r="G526" s="99"/>
      <c r="H526" s="99">
        <v>1</v>
      </c>
      <c r="I526" s="31">
        <v>6990500</v>
      </c>
      <c r="J526" s="67">
        <f t="shared" si="65"/>
        <v>6990500</v>
      </c>
      <c r="K526" s="31"/>
      <c r="L526" s="99"/>
      <c r="M526" s="33"/>
    </row>
    <row r="527" spans="1:13">
      <c r="A527" s="99"/>
      <c r="B527" s="251"/>
      <c r="C527" s="99"/>
      <c r="D527" s="99"/>
      <c r="E527" s="104"/>
      <c r="F527" s="99" t="s">
        <v>382</v>
      </c>
      <c r="G527" s="99"/>
      <c r="H527" s="99">
        <v>1</v>
      </c>
      <c r="I527" s="31">
        <v>300000</v>
      </c>
      <c r="J527" s="67">
        <f t="shared" si="65"/>
        <v>300000</v>
      </c>
      <c r="K527" s="31"/>
      <c r="L527" s="99"/>
      <c r="M527" s="33"/>
    </row>
    <row r="528" spans="1:13">
      <c r="A528" s="99"/>
      <c r="B528" s="251"/>
      <c r="C528" s="99"/>
      <c r="D528" s="99"/>
      <c r="E528" s="104"/>
      <c r="F528" s="99" t="s">
        <v>279</v>
      </c>
      <c r="G528" s="99"/>
      <c r="H528" s="99">
        <v>1</v>
      </c>
      <c r="I528" s="31">
        <v>5000000</v>
      </c>
      <c r="J528" s="20">
        <f t="shared" si="65"/>
        <v>5000000</v>
      </c>
      <c r="K528" s="31"/>
      <c r="L528" s="99"/>
      <c r="M528" s="33">
        <f>J529+J530+K529+K530</f>
        <v>130240263</v>
      </c>
    </row>
    <row r="529" spans="1:14">
      <c r="A529" s="91"/>
      <c r="B529" s="251"/>
      <c r="C529" s="99"/>
      <c r="D529" s="99"/>
      <c r="E529" s="104"/>
      <c r="F529" s="91" t="s">
        <v>417</v>
      </c>
      <c r="G529" s="91"/>
      <c r="H529" s="91">
        <v>1</v>
      </c>
      <c r="I529" s="31">
        <v>59200000</v>
      </c>
      <c r="J529" s="20">
        <f t="shared" si="65"/>
        <v>59200000</v>
      </c>
      <c r="K529" s="31">
        <v>2700000</v>
      </c>
      <c r="L529" s="91"/>
      <c r="M529" s="33">
        <f>SUM(J515:J524)</f>
        <v>56150000</v>
      </c>
    </row>
    <row r="530" spans="1:14">
      <c r="A530" s="91"/>
      <c r="B530" s="251"/>
      <c r="C530" s="99"/>
      <c r="D530" s="103"/>
      <c r="E530" s="99"/>
      <c r="F530" s="91" t="s">
        <v>418</v>
      </c>
      <c r="G530" s="91"/>
      <c r="H530" s="91">
        <v>1</v>
      </c>
      <c r="I530" s="31">
        <v>65640263</v>
      </c>
      <c r="J530" s="20">
        <f t="shared" si="65"/>
        <v>65640263</v>
      </c>
      <c r="K530" s="67">
        <v>2700000</v>
      </c>
      <c r="L530" s="32"/>
      <c r="M530" s="33">
        <f>130240263-J529-J530</f>
        <v>5400000</v>
      </c>
    </row>
    <row r="531" spans="1:14" ht="30">
      <c r="A531" s="91"/>
      <c r="B531" s="251"/>
      <c r="C531" s="99"/>
      <c r="D531" s="103"/>
      <c r="E531" s="99"/>
      <c r="F531" s="91" t="s">
        <v>420</v>
      </c>
      <c r="G531" s="91"/>
      <c r="H531" s="91">
        <v>1</v>
      </c>
      <c r="I531" s="31">
        <v>41900000</v>
      </c>
      <c r="J531" s="20">
        <f t="shared" si="65"/>
        <v>41900000</v>
      </c>
      <c r="K531" s="31">
        <f>2400000+650000</f>
        <v>3050000</v>
      </c>
      <c r="L531" s="32"/>
      <c r="M531" s="33">
        <f>K531+J531</f>
        <v>44950000</v>
      </c>
    </row>
    <row r="532" spans="1:14" ht="30">
      <c r="A532" s="91"/>
      <c r="B532" s="251"/>
      <c r="C532" s="99"/>
      <c r="D532" s="103"/>
      <c r="E532" s="99"/>
      <c r="F532" s="91" t="s">
        <v>419</v>
      </c>
      <c r="G532" s="91"/>
      <c r="H532" s="91">
        <v>1</v>
      </c>
      <c r="I532" s="31">
        <v>52300000</v>
      </c>
      <c r="J532" s="67">
        <f t="shared" si="65"/>
        <v>52300000</v>
      </c>
      <c r="K532" s="31">
        <v>2400000</v>
      </c>
      <c r="L532" s="32"/>
      <c r="M532" s="112">
        <v>327715763</v>
      </c>
    </row>
    <row r="533" spans="1:14" ht="30">
      <c r="A533" s="91"/>
      <c r="B533" s="251"/>
      <c r="C533" s="99"/>
      <c r="D533" s="103"/>
      <c r="E533" s="99"/>
      <c r="F533" s="91" t="s">
        <v>421</v>
      </c>
      <c r="G533" s="91"/>
      <c r="H533" s="91">
        <v>1</v>
      </c>
      <c r="I533" s="31">
        <v>95700000</v>
      </c>
      <c r="J533" s="67">
        <f t="shared" si="65"/>
        <v>95700000</v>
      </c>
      <c r="K533" s="31">
        <v>2400000</v>
      </c>
      <c r="L533" s="32"/>
      <c r="M533" s="33">
        <f>M532-30000000-J531-K531</f>
        <v>252765763</v>
      </c>
    </row>
    <row r="534" spans="1:14">
      <c r="A534" s="91"/>
      <c r="B534" s="251"/>
      <c r="C534" s="99"/>
      <c r="D534" s="103"/>
      <c r="E534" s="99"/>
      <c r="F534" t="s">
        <v>422</v>
      </c>
      <c r="G534" s="91"/>
      <c r="H534" s="91">
        <v>1</v>
      </c>
      <c r="I534" s="31">
        <v>31900000</v>
      </c>
      <c r="J534" s="67">
        <f t="shared" si="65"/>
        <v>31900000</v>
      </c>
      <c r="K534" s="31">
        <v>2400000</v>
      </c>
      <c r="L534" s="32"/>
      <c r="M534" s="65">
        <v>8925814884</v>
      </c>
    </row>
    <row r="535" spans="1:14">
      <c r="A535" s="91"/>
      <c r="B535" s="251"/>
      <c r="C535" s="99"/>
      <c r="D535" s="103"/>
      <c r="E535" s="99"/>
      <c r="F535" t="s">
        <v>423</v>
      </c>
      <c r="G535" s="91"/>
      <c r="H535" s="91">
        <v>1</v>
      </c>
      <c r="I535" s="111">
        <v>41481657</v>
      </c>
      <c r="J535" s="67">
        <f t="shared" si="65"/>
        <v>41481657</v>
      </c>
      <c r="K535" s="31">
        <v>2400000</v>
      </c>
      <c r="L535" s="32"/>
    </row>
    <row r="536" spans="1:14">
      <c r="A536" s="100"/>
      <c r="B536" s="252"/>
      <c r="C536" s="102"/>
      <c r="D536" s="106"/>
      <c r="E536" s="102"/>
      <c r="F536" t="s">
        <v>424</v>
      </c>
      <c r="G536" s="100"/>
      <c r="H536" s="100">
        <v>1</v>
      </c>
      <c r="I536" s="35">
        <v>31900000</v>
      </c>
      <c r="J536" s="113">
        <f t="shared" si="65"/>
        <v>31900000</v>
      </c>
      <c r="K536" s="35">
        <v>2400000</v>
      </c>
      <c r="L536" s="100"/>
    </row>
    <row r="537" spans="1:14" s="40" customFormat="1">
      <c r="A537" s="14"/>
      <c r="B537" s="14"/>
      <c r="C537" s="14"/>
      <c r="D537" s="8"/>
      <c r="E537" s="14"/>
      <c r="F537" s="14"/>
      <c r="G537" s="14"/>
      <c r="H537" s="14"/>
      <c r="I537" s="37"/>
      <c r="J537" s="38">
        <f>SUM(J499:J536)</f>
        <v>584847420</v>
      </c>
      <c r="K537" s="38">
        <f>SUM(K499:K536)</f>
        <v>23100000</v>
      </c>
      <c r="L537" s="39">
        <f>K537+J537</f>
        <v>607947420</v>
      </c>
      <c r="M537" s="46" t="e">
        <f>L537-'BM FIX'!#REF!</f>
        <v>#REF!</v>
      </c>
    </row>
    <row r="538" spans="1:14">
      <c r="A538" s="101"/>
      <c r="B538" s="101"/>
      <c r="C538" s="101"/>
      <c r="D538" s="105"/>
      <c r="E538" s="101"/>
      <c r="F538" s="101"/>
      <c r="G538" s="101"/>
      <c r="H538" s="101"/>
      <c r="I538" s="114"/>
      <c r="J538" s="114"/>
      <c r="K538" s="114"/>
      <c r="L538" s="115">
        <f>L537+L498+L458+L424+L387+L347+L308+L271+L240+L205+L164+L130+L90+L53+L23</f>
        <v>8925764884</v>
      </c>
      <c r="M538" s="33" t="e">
        <f>#REF!/6</f>
        <v>#REF!</v>
      </c>
      <c r="N538" s="65">
        <f>2400000*6</f>
        <v>14400000</v>
      </c>
    </row>
  </sheetData>
  <mergeCells count="238">
    <mergeCell ref="F522:F523"/>
    <mergeCell ref="C515:C524"/>
    <mergeCell ref="D515:D524"/>
    <mergeCell ref="E515:E524"/>
    <mergeCell ref="F500:F501"/>
    <mergeCell ref="D499:D503"/>
    <mergeCell ref="E499:E503"/>
    <mergeCell ref="C499:C503"/>
    <mergeCell ref="C504:C508"/>
    <mergeCell ref="D504:D508"/>
    <mergeCell ref="E504:E508"/>
    <mergeCell ref="F518:F519"/>
    <mergeCell ref="F482:F483"/>
    <mergeCell ref="C474:C484"/>
    <mergeCell ref="D474:D484"/>
    <mergeCell ref="E474:E484"/>
    <mergeCell ref="C491:C497"/>
    <mergeCell ref="C462:C471"/>
    <mergeCell ref="D462:D471"/>
    <mergeCell ref="E462:E471"/>
    <mergeCell ref="B459:B497"/>
    <mergeCell ref="D309:D313"/>
    <mergeCell ref="E309:E313"/>
    <mergeCell ref="C314:C319"/>
    <mergeCell ref="D314:D319"/>
    <mergeCell ref="E314:E319"/>
    <mergeCell ref="C459:C461"/>
    <mergeCell ref="D459:D461"/>
    <mergeCell ref="E459:E461"/>
    <mergeCell ref="F474:F475"/>
    <mergeCell ref="F407:F408"/>
    <mergeCell ref="C417:C423"/>
    <mergeCell ref="F426:F427"/>
    <mergeCell ref="C425:C429"/>
    <mergeCell ref="D425:D429"/>
    <mergeCell ref="E425:E429"/>
    <mergeCell ref="C431:C435"/>
    <mergeCell ref="D431:D435"/>
    <mergeCell ref="E431:E435"/>
    <mergeCell ref="F441:F442"/>
    <mergeCell ref="E437:E443"/>
    <mergeCell ref="D437:D443"/>
    <mergeCell ref="C437:C443"/>
    <mergeCell ref="F349:F350"/>
    <mergeCell ref="C399:C409"/>
    <mergeCell ref="F273:F274"/>
    <mergeCell ref="C277:C283"/>
    <mergeCell ref="D277:D283"/>
    <mergeCell ref="E277:E283"/>
    <mergeCell ref="C241:C248"/>
    <mergeCell ref="D241:D248"/>
    <mergeCell ref="E241:E248"/>
    <mergeCell ref="E249:E252"/>
    <mergeCell ref="D249:D252"/>
    <mergeCell ref="C249:C252"/>
    <mergeCell ref="F259:F260"/>
    <mergeCell ref="C255:C261"/>
    <mergeCell ref="D255:D261"/>
    <mergeCell ref="E255:E261"/>
    <mergeCell ref="F189:F190"/>
    <mergeCell ref="D192:D193"/>
    <mergeCell ref="C192:C193"/>
    <mergeCell ref="E192:E193"/>
    <mergeCell ref="C183:C191"/>
    <mergeCell ref="D183:D191"/>
    <mergeCell ref="E183:E191"/>
    <mergeCell ref="F218:F219"/>
    <mergeCell ref="C212:C220"/>
    <mergeCell ref="B165:B204"/>
    <mergeCell ref="C199:C204"/>
    <mergeCell ref="D199:D204"/>
    <mergeCell ref="E199:E204"/>
    <mergeCell ref="D212:D220"/>
    <mergeCell ref="E212:E220"/>
    <mergeCell ref="C206:C208"/>
    <mergeCell ref="D206:D208"/>
    <mergeCell ref="E206:E208"/>
    <mergeCell ref="C210:C211"/>
    <mergeCell ref="D210:D211"/>
    <mergeCell ref="E210:E211"/>
    <mergeCell ref="B24:B52"/>
    <mergeCell ref="B54:B89"/>
    <mergeCell ref="B91:B129"/>
    <mergeCell ref="B131:B163"/>
    <mergeCell ref="C24:C29"/>
    <mergeCell ref="D24:D29"/>
    <mergeCell ref="E24:E29"/>
    <mergeCell ref="D65:D66"/>
    <mergeCell ref="E65:E66"/>
    <mergeCell ref="C59:C63"/>
    <mergeCell ref="D59:D63"/>
    <mergeCell ref="E59:E63"/>
    <mergeCell ref="C80:C82"/>
    <mergeCell ref="D80:D82"/>
    <mergeCell ref="E80:E82"/>
    <mergeCell ref="C72:C79"/>
    <mergeCell ref="D72:D79"/>
    <mergeCell ref="E72:E79"/>
    <mergeCell ref="C30:C33"/>
    <mergeCell ref="D30:D33"/>
    <mergeCell ref="E30:E33"/>
    <mergeCell ref="C42:C43"/>
    <mergeCell ref="D42:D43"/>
    <mergeCell ref="E42:E43"/>
    <mergeCell ref="C34:C41"/>
    <mergeCell ref="D34:D41"/>
    <mergeCell ref="E34:E41"/>
    <mergeCell ref="C56:C58"/>
    <mergeCell ref="D56:D58"/>
    <mergeCell ref="E56:E58"/>
    <mergeCell ref="C54:C55"/>
    <mergeCell ref="D54:D55"/>
    <mergeCell ref="E54:E55"/>
    <mergeCell ref="C65:C66"/>
    <mergeCell ref="C170:C175"/>
    <mergeCell ref="D170:D175"/>
    <mergeCell ref="E170:E175"/>
    <mergeCell ref="C176:C181"/>
    <mergeCell ref="E97:E105"/>
    <mergeCell ref="C108:C116"/>
    <mergeCell ref="D108:D116"/>
    <mergeCell ref="E108:E116"/>
    <mergeCell ref="C117:C118"/>
    <mergeCell ref="D117:D118"/>
    <mergeCell ref="E117:E118"/>
    <mergeCell ref="C119:C120"/>
    <mergeCell ref="E136:E141"/>
    <mergeCell ref="E131:E135"/>
    <mergeCell ref="D131:D135"/>
    <mergeCell ref="C131:C135"/>
    <mergeCell ref="D176:D181"/>
    <mergeCell ref="E176:E181"/>
    <mergeCell ref="F166:F167"/>
    <mergeCell ref="D165:D169"/>
    <mergeCell ref="C165:C169"/>
    <mergeCell ref="E165:E169"/>
    <mergeCell ref="A4:A5"/>
    <mergeCell ref="B4:B5"/>
    <mergeCell ref="C4:E4"/>
    <mergeCell ref="E9:E19"/>
    <mergeCell ref="F18:F19"/>
    <mergeCell ref="D9:D19"/>
    <mergeCell ref="C9:C19"/>
    <mergeCell ref="B7:B22"/>
    <mergeCell ref="C158:C159"/>
    <mergeCell ref="C147:C153"/>
    <mergeCell ref="D147:D153"/>
    <mergeCell ref="E147:E153"/>
    <mergeCell ref="F39:F40"/>
    <mergeCell ref="F114:F115"/>
    <mergeCell ref="F77:F78"/>
    <mergeCell ref="F144:F145"/>
    <mergeCell ref="F152:F153"/>
    <mergeCell ref="F54:F55"/>
    <mergeCell ref="C136:C141"/>
    <mergeCell ref="D136:D141"/>
    <mergeCell ref="L4:L5"/>
    <mergeCell ref="F4:K4"/>
    <mergeCell ref="F13:F15"/>
    <mergeCell ref="F9:F10"/>
    <mergeCell ref="C160:C163"/>
    <mergeCell ref="C144:C145"/>
    <mergeCell ref="D144:D145"/>
    <mergeCell ref="E144:E145"/>
    <mergeCell ref="C142:C143"/>
    <mergeCell ref="D142:D143"/>
    <mergeCell ref="E142:E143"/>
    <mergeCell ref="C124:C129"/>
    <mergeCell ref="D119:D120"/>
    <mergeCell ref="E119:E120"/>
    <mergeCell ref="C84:C89"/>
    <mergeCell ref="D84:D89"/>
    <mergeCell ref="E84:E89"/>
    <mergeCell ref="D124:D129"/>
    <mergeCell ref="E124:E129"/>
    <mergeCell ref="C91:C96"/>
    <mergeCell ref="D91:D96"/>
    <mergeCell ref="E91:E96"/>
    <mergeCell ref="C97:C105"/>
    <mergeCell ref="D97:D105"/>
    <mergeCell ref="F310:F311"/>
    <mergeCell ref="D399:D409"/>
    <mergeCell ref="E399:E409"/>
    <mergeCell ref="B388:B423"/>
    <mergeCell ref="C224:C227"/>
    <mergeCell ref="D224:D227"/>
    <mergeCell ref="E224:E227"/>
    <mergeCell ref="C348:C352"/>
    <mergeCell ref="D348:D352"/>
    <mergeCell ref="E348:E352"/>
    <mergeCell ref="C284:C292"/>
    <mergeCell ref="D284:D292"/>
    <mergeCell ref="E284:E292"/>
    <mergeCell ref="C301:C307"/>
    <mergeCell ref="C309:C313"/>
    <mergeCell ref="B309:B346"/>
    <mergeCell ref="B272:B307"/>
    <mergeCell ref="C266:C270"/>
    <mergeCell ref="B206:B239"/>
    <mergeCell ref="C233:C239"/>
    <mergeCell ref="B241:B270"/>
    <mergeCell ref="C272:C276"/>
    <mergeCell ref="D272:D276"/>
    <mergeCell ref="E272:E276"/>
    <mergeCell ref="F290:F291"/>
    <mergeCell ref="C293:C294"/>
    <mergeCell ref="D293:D294"/>
    <mergeCell ref="E293:E294"/>
    <mergeCell ref="F399:F400"/>
    <mergeCell ref="F403:F404"/>
    <mergeCell ref="C354:C364"/>
    <mergeCell ref="D354:D364"/>
    <mergeCell ref="E354:E364"/>
    <mergeCell ref="F372:F373"/>
    <mergeCell ref="C382:C386"/>
    <mergeCell ref="C380:C381"/>
    <mergeCell ref="D380:D381"/>
    <mergeCell ref="E380:E381"/>
    <mergeCell ref="C366:C375"/>
    <mergeCell ref="D366:D375"/>
    <mergeCell ref="F327:F328"/>
    <mergeCell ref="C330:C331"/>
    <mergeCell ref="D330:D331"/>
    <mergeCell ref="E330:E331"/>
    <mergeCell ref="C321:C329"/>
    <mergeCell ref="D321:D329"/>
    <mergeCell ref="E321:E329"/>
    <mergeCell ref="C339:C346"/>
    <mergeCell ref="B425:B457"/>
    <mergeCell ref="C451:C457"/>
    <mergeCell ref="B499:B536"/>
    <mergeCell ref="B348:B386"/>
    <mergeCell ref="C388:C393"/>
    <mergeCell ref="D388:D393"/>
    <mergeCell ref="E388:E393"/>
    <mergeCell ref="C394:C397"/>
    <mergeCell ref="D394:D397"/>
    <mergeCell ref="E394:E39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horizontalDpi="4294967293" r:id="rId1"/>
  <colBreaks count="1" manualBreakCount="1">
    <brk id="12" max="2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I9:I14"/>
  <sheetViews>
    <sheetView workbookViewId="0">
      <selection activeCell="I8" sqref="I8"/>
    </sheetView>
  </sheetViews>
  <sheetFormatPr defaultRowHeight="15"/>
  <cols>
    <col min="9" max="9" width="11.5703125" bestFit="1" customWidth="1"/>
  </cols>
  <sheetData>
    <row r="9" spans="9:9">
      <c r="I9" s="1">
        <f>5500000*14</f>
        <v>77000000</v>
      </c>
    </row>
    <row r="10" spans="9:9">
      <c r="I10" s="1">
        <f>125000000/14</f>
        <v>8928571.4285714291</v>
      </c>
    </row>
    <row r="13" spans="9:9">
      <c r="I13">
        <f>88.31+97.86</f>
        <v>186.17000000000002</v>
      </c>
    </row>
    <row r="14" spans="9:9">
      <c r="I14">
        <f>I13/2</f>
        <v>93.085000000000008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BM FIX</vt:lpstr>
      <vt:lpstr>Sheet2</vt:lpstr>
      <vt:lpstr>Sheet3</vt:lpstr>
      <vt:lpstr>Sheet4</vt:lpstr>
      <vt:lpstr>'BM FIX'!Print_Titles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2021-06-29T02:16:52Z</cp:lastPrinted>
  <dcterms:created xsi:type="dcterms:W3CDTF">2019-10-07T14:32:36Z</dcterms:created>
  <dcterms:modified xsi:type="dcterms:W3CDTF">2021-07-14T13:24:11Z</dcterms:modified>
</cp:coreProperties>
</file>