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30" windowWidth="20115" windowHeight="7500" activeTab="1"/>
  </bookViews>
  <sheets>
    <sheet name="TABEL 2.1 RENJA PERUBAHAN 2014" sheetId="1" r:id="rId1"/>
    <sheet name="rekapitulasi" sheetId="2" r:id="rId2"/>
  </sheets>
  <definedNames>
    <definedName name="_xlnm.Print_Area" localSheetId="1">rekapitulasi!$A$1:$S$126</definedName>
    <definedName name="_xlnm.Print_Area" localSheetId="0">'TABEL 2.1 RENJA PERUBAHAN 2014'!$A$1:$R$103</definedName>
  </definedNames>
  <calcPr calcId="124519"/>
</workbook>
</file>

<file path=xl/calcChain.xml><?xml version="1.0" encoding="utf-8"?>
<calcChain xmlns="http://schemas.openxmlformats.org/spreadsheetml/2006/main">
  <c r="P117" i="2"/>
  <c r="P114" l="1"/>
  <c r="P113"/>
  <c r="P112"/>
  <c r="P111"/>
  <c r="P107"/>
  <c r="P106"/>
  <c r="P105"/>
  <c r="P104"/>
  <c r="P103"/>
  <c r="P101"/>
  <c r="P100"/>
  <c r="P98"/>
  <c r="P96"/>
  <c r="P95"/>
  <c r="P94"/>
  <c r="P92"/>
  <c r="P91"/>
  <c r="P90"/>
  <c r="P89" l="1"/>
  <c r="P85"/>
  <c r="P84"/>
  <c r="P83" l="1"/>
  <c r="P82"/>
  <c r="P81"/>
  <c r="P80"/>
  <c r="P79"/>
  <c r="P77"/>
  <c r="P76"/>
  <c r="P75"/>
  <c r="P74"/>
  <c r="P73"/>
  <c r="P69"/>
  <c r="P68"/>
  <c r="P67"/>
  <c r="P66"/>
  <c r="P65"/>
  <c r="P64"/>
  <c r="P63"/>
  <c r="P62"/>
  <c r="P61"/>
  <c r="P60"/>
  <c r="P59"/>
  <c r="P58"/>
  <c r="P57" l="1"/>
  <c r="P43"/>
  <c r="M43"/>
  <c r="P50"/>
  <c r="P49"/>
  <c r="P48"/>
  <c r="P47"/>
  <c r="P46"/>
  <c r="P45"/>
  <c r="P44"/>
  <c r="P40"/>
  <c r="P42"/>
  <c r="P41"/>
  <c r="P37"/>
  <c r="P39"/>
  <c r="P38"/>
  <c r="P36"/>
  <c r="P34"/>
  <c r="P33"/>
  <c r="P32"/>
  <c r="P31"/>
  <c r="P30"/>
  <c r="P29"/>
  <c r="P27"/>
  <c r="P26"/>
  <c r="P13"/>
  <c r="P25"/>
  <c r="P24"/>
  <c r="P23"/>
  <c r="P22"/>
  <c r="P21"/>
  <c r="P20"/>
  <c r="P19"/>
  <c r="P18"/>
  <c r="P17"/>
  <c r="P16"/>
  <c r="P15"/>
  <c r="P14"/>
  <c r="P115" l="1"/>
  <c r="P109"/>
  <c r="P108"/>
  <c r="P93" l="1"/>
  <c r="P88" l="1"/>
  <c r="P78" l="1"/>
  <c r="P71"/>
  <c r="P28" l="1"/>
  <c r="P56" l="1"/>
  <c r="P55"/>
  <c r="P54"/>
  <c r="P53"/>
  <c r="P52"/>
  <c r="P110" l="1"/>
  <c r="P87"/>
  <c r="P86"/>
  <c r="P72" l="1"/>
  <c r="P70"/>
  <c r="P35" l="1"/>
  <c r="AC37" l="1"/>
  <c r="Y37"/>
  <c r="AB37" s="1"/>
  <c r="AD37" s="1"/>
  <c r="W37"/>
  <c r="Z37" s="1"/>
  <c r="AC36"/>
  <c r="Y36"/>
  <c r="AB36" s="1"/>
  <c r="AD36" s="1"/>
  <c r="W36"/>
  <c r="Z36" s="1"/>
  <c r="AC35"/>
  <c r="Y35"/>
  <c r="AB35" s="1"/>
  <c r="AD35" s="1"/>
  <c r="W35"/>
  <c r="Z35" s="1"/>
  <c r="CX28"/>
  <c r="AB37" i="1"/>
  <c r="X37"/>
  <c r="AA37" s="1"/>
  <c r="AC37" s="1"/>
  <c r="V37"/>
  <c r="Y37" s="1"/>
  <c r="AB36"/>
  <c r="X36"/>
  <c r="AA36" s="1"/>
  <c r="AC36" s="1"/>
  <c r="V36"/>
  <c r="Y36" s="1"/>
  <c r="AB35"/>
  <c r="X35"/>
  <c r="AA35" s="1"/>
  <c r="AC35" s="1"/>
  <c r="V35"/>
  <c r="Y35" s="1"/>
  <c r="CW28"/>
  <c r="L13"/>
</calcChain>
</file>

<file path=xl/comments1.xml><?xml version="1.0" encoding="utf-8"?>
<comments xmlns="http://schemas.openxmlformats.org/spreadsheetml/2006/main">
  <authors>
    <author>user</author>
    <author>Asus</author>
  </authors>
  <commentList>
    <comment ref="K11" authorId="0">
      <text>
        <r>
          <rPr>
            <b/>
            <sz val="9"/>
            <color indexed="81"/>
            <rFont val="Tahoma"/>
            <family val="2"/>
          </rPr>
          <t>user:</t>
        </r>
        <r>
          <rPr>
            <sz val="9"/>
            <color indexed="81"/>
            <rFont val="Tahoma"/>
            <family val="2"/>
          </rPr>
          <t xml:space="preserve">
diedit data awal 101,17
</t>
        </r>
      </text>
    </comment>
    <comment ref="K31" authorId="1">
      <text>
        <r>
          <rPr>
            <b/>
            <sz val="9"/>
            <color indexed="81"/>
            <rFont val="Tahoma"/>
            <family val="2"/>
          </rPr>
          <t>Asus:</t>
        </r>
        <r>
          <rPr>
            <sz val="9"/>
            <color indexed="81"/>
            <rFont val="Tahoma"/>
            <family val="2"/>
          </rPr>
          <t xml:space="preserve">
Jumlah aparatur yang mengikuti bintek s.d. 2013 sebanyak 506 orang
</t>
        </r>
      </text>
    </comment>
  </commentList>
</comments>
</file>

<file path=xl/comments2.xml><?xml version="1.0" encoding="utf-8"?>
<comments xmlns="http://schemas.openxmlformats.org/spreadsheetml/2006/main">
  <authors>
    <author>user</author>
    <author>Author</author>
  </authors>
  <commentList>
    <comment ref="L11" authorId="0">
      <text>
        <r>
          <rPr>
            <b/>
            <sz val="9"/>
            <color indexed="81"/>
            <rFont val="Tahoma"/>
            <family val="2"/>
          </rPr>
          <t>user:</t>
        </r>
        <r>
          <rPr>
            <sz val="9"/>
            <color indexed="81"/>
            <rFont val="Tahoma"/>
            <family val="2"/>
          </rPr>
          <t xml:space="preserve">
diedit data awal 101,17
</t>
        </r>
      </text>
    </comment>
    <comment ref="H24" authorId="1">
      <text>
        <r>
          <rPr>
            <b/>
            <sz val="9"/>
            <color indexed="81"/>
            <rFont val="Tahoma"/>
            <family val="2"/>
          </rPr>
          <t>Author:</t>
        </r>
        <r>
          <rPr>
            <sz val="9"/>
            <color indexed="81"/>
            <rFont val="Tahoma"/>
            <family val="2"/>
          </rPr>
          <t xml:space="preserve">
perbaiki indikATOR agar lebih oke bahasanya
</t>
        </r>
      </text>
    </comment>
    <comment ref="H25" authorId="1">
      <text>
        <r>
          <rPr>
            <b/>
            <sz val="9"/>
            <color indexed="81"/>
            <rFont val="Tahoma"/>
            <family val="2"/>
          </rPr>
          <t>Author:</t>
        </r>
        <r>
          <rPr>
            <sz val="9"/>
            <color indexed="81"/>
            <rFont val="Tahoma"/>
            <family val="2"/>
          </rPr>
          <t xml:space="preserve">
perbaiki indikATOR agar lebih oke bahasanya
</t>
        </r>
      </text>
    </comment>
  </commentList>
</comments>
</file>

<file path=xl/sharedStrings.xml><?xml version="1.0" encoding="utf-8"?>
<sst xmlns="http://schemas.openxmlformats.org/spreadsheetml/2006/main" count="2065" uniqueCount="701">
  <si>
    <t>Tabel 2.1</t>
  </si>
  <si>
    <t>Kode</t>
  </si>
  <si>
    <t>Urusan/Bidang Urusan Pemerintah Daerah dan Program/Kegiatan</t>
  </si>
  <si>
    <t>Catatan</t>
  </si>
  <si>
    <t>Tingkat Realisasi (%)</t>
  </si>
  <si>
    <t>Tingkat Capaian Realisasi Target Renstra  (%)</t>
  </si>
  <si>
    <t>6</t>
  </si>
  <si>
    <t>7</t>
  </si>
  <si>
    <t>8=(7/6)</t>
  </si>
  <si>
    <t>10=(5+7+9)</t>
  </si>
  <si>
    <t>11=(10/4)</t>
  </si>
  <si>
    <t>URUSAN WAJIB</t>
  </si>
  <si>
    <t>PROGRAM PELAYANAN ADMINISTRASI PERKANTORAN</t>
  </si>
  <si>
    <t>Penyediaan Peralatan Rumah Tangga</t>
  </si>
  <si>
    <t>PROGRAM PENINGKATAN SARANA DAN PRASARANA APARATUR</t>
  </si>
  <si>
    <t>1 dokumen</t>
  </si>
  <si>
    <t>1 aplikasi</t>
  </si>
  <si>
    <t>-</t>
  </si>
  <si>
    <t>12 Bulan</t>
  </si>
  <si>
    <t>4 dokumen</t>
  </si>
  <si>
    <t>12 bulan</t>
  </si>
  <si>
    <r>
      <t>Indikator Kinerja Program (</t>
    </r>
    <r>
      <rPr>
        <b/>
        <i/>
        <sz val="12"/>
        <color theme="1"/>
        <rFont val="Arial"/>
        <family val="2"/>
      </rPr>
      <t>Outcome</t>
    </r>
    <r>
      <rPr>
        <b/>
        <sz val="12"/>
        <color theme="1"/>
        <rFont val="Arial"/>
        <family val="2"/>
      </rPr>
      <t>) / Kegiatan (</t>
    </r>
    <r>
      <rPr>
        <b/>
        <i/>
        <sz val="12"/>
        <color theme="1"/>
        <rFont val="Arial"/>
        <family val="2"/>
      </rPr>
      <t>Output</t>
    </r>
    <r>
      <rPr>
        <b/>
        <sz val="12"/>
        <color theme="1"/>
        <rFont val="Arial"/>
        <family val="2"/>
      </rPr>
      <t>)</t>
    </r>
  </si>
  <si>
    <t xml:space="preserve">Rekapitulasi Evaluasi Hasil Pelaksanaan Renja dan Pencapaian Renstra </t>
  </si>
  <si>
    <t>Dinas Pengalolaan Keuangan Daerah Kota Serang Provinsi Banten s/d Tahun 2015</t>
  </si>
  <si>
    <t>Target Kinerja Capaian Program     ( Renstra SKPD )  Tahun 2015</t>
  </si>
  <si>
    <t>Realisasi Target Kinerja Hasil Program dan Keluaran Kegiatan s/d Tahun 2013 (tahun n-3)</t>
  </si>
  <si>
    <t>Target dan Realisasi Kinerja Program dan Kegiatan Tahun 2014</t>
  </si>
  <si>
    <t>Target Renja Tahun 2014</t>
  </si>
  <si>
    <t>Realisasi Renja Tahun 2014</t>
  </si>
  <si>
    <t>Target Program dan Kegiatan Tahun 2015</t>
  </si>
  <si>
    <t>Perkiraan Realisasi Capaian Target Renstra Tahun 2015</t>
  </si>
  <si>
    <t>Realisasi Capaian Program dan Kegiatan Tahun 2015</t>
  </si>
  <si>
    <t>1.20</t>
  </si>
  <si>
    <t>Otonomi Daerah, Pemerintahan Umum, Administrasi Keuangan Daerah, Perangkat Daerah, Kepegawaian</t>
  </si>
  <si>
    <t>Dinas Pengelolaan Keuangan Daerah</t>
  </si>
  <si>
    <t>05</t>
  </si>
  <si>
    <t>01</t>
  </si>
  <si>
    <t>Terlaksananya proses pelayanan perkantoran sesuai dengan kebutuhan</t>
  </si>
  <si>
    <t>06</t>
  </si>
  <si>
    <t>07</t>
  </si>
  <si>
    <t>Penyediaan jasa surat menyurat</t>
  </si>
  <si>
    <t xml:space="preserve">Terpenuhinya kebutuhan benda pos  </t>
  </si>
  <si>
    <t>02</t>
  </si>
  <si>
    <t>Penyediaan jasa komunikasi, sumber daya air dan listrik</t>
  </si>
  <si>
    <t xml:space="preserve">Terpenuhinya belanja telepon </t>
  </si>
  <si>
    <t>03</t>
  </si>
  <si>
    <t>Penyediaan jasa pemeliharaan dan perizinan kendaraan dinas/operasional</t>
  </si>
  <si>
    <t xml:space="preserve">Terpenuhinya jasa pemeliharaan dan perizinan kendaraan dinas/operasional </t>
  </si>
  <si>
    <t>15 roda 4 dan 33 roda 2</t>
  </si>
  <si>
    <t>12 roda 4 dan 15 roda 2</t>
  </si>
  <si>
    <t>13 roda 4 dan 25 roda 2</t>
  </si>
  <si>
    <t>Penyediaan jasa kebersihan kantor</t>
  </si>
  <si>
    <t>Terpeliharanya kebersihan gedung kantor</t>
  </si>
  <si>
    <t>08</t>
  </si>
  <si>
    <t>3 Gedung</t>
  </si>
  <si>
    <t>1 Gedung</t>
  </si>
  <si>
    <t>Penyediaan alat tulis kantor</t>
  </si>
  <si>
    <t>Terpenuhinya Kebutuhan ATK</t>
  </si>
  <si>
    <t>Penyediaan barang cetakan dan penggandaan</t>
  </si>
  <si>
    <t>Terpenuhinya barang cetakan dan penggandaan</t>
  </si>
  <si>
    <t>Penyediaan Komponen instalasi listrik/penerangan bangunan kantor</t>
  </si>
  <si>
    <t>Tersedianya komponen instalasi listrik/penerangan bangunan kantor</t>
  </si>
  <si>
    <t>Terpenuhinya peralatan rumah tangga DPKD</t>
  </si>
  <si>
    <t>Penyediaan bahan bacaan dan peraturan perundang-undangan</t>
  </si>
  <si>
    <t>Tersedianya bahan bacaan untuk PNS DPKD</t>
  </si>
  <si>
    <t>1 tahun</t>
  </si>
  <si>
    <t>40 buku</t>
  </si>
  <si>
    <t>1 Tahun</t>
  </si>
  <si>
    <t>Penyediaan makanan dan minuman</t>
  </si>
  <si>
    <t>Terpenuhinya penyediaan makan dan minum</t>
  </si>
  <si>
    <t>Rapat-rapat koordinasi dan konsultasi ke luar daerah</t>
  </si>
  <si>
    <t>Terpenuhinya dana rapat-rapat koordinasi untuk luar daerah</t>
  </si>
  <si>
    <t>Rapat-rapat koordinasi dan konsultasi dalam daerah</t>
  </si>
  <si>
    <t>Terpenuhinya dana rapat-rapat koordinasi untuk dalam daerah</t>
  </si>
  <si>
    <t>Tersedianya sarana dan prasarana penunjang yang lebih baik sesuai dengan kebutuhan</t>
  </si>
  <si>
    <t>Pengadaan kendaraan dinas/Operasional</t>
  </si>
  <si>
    <t>Terlaksananya kegiatan pengadaan Kendaraan Dinas /Operasional</t>
  </si>
  <si>
    <t>2 roda 4, 3 roda 2</t>
  </si>
  <si>
    <t>1 roda 4, 5 roda 2</t>
  </si>
  <si>
    <t>2 roda 4, 8 roda 2</t>
  </si>
  <si>
    <t>Pengadaan perlengkapan gedung kantor</t>
  </si>
  <si>
    <t>Terlaksananya kegiatan pengadaan perlengkapan gedung kantor</t>
  </si>
  <si>
    <t>4 jenis/44 unit</t>
  </si>
  <si>
    <t>6 jenis/61 unit</t>
  </si>
  <si>
    <t>3 jenis/32 unit</t>
  </si>
  <si>
    <t>09</t>
  </si>
  <si>
    <t>Pengadaan peralatan gedung kantor</t>
  </si>
  <si>
    <t>Terlaksananya kegiatan pengadaan peralatan gedung kantor</t>
  </si>
  <si>
    <t>18 jenis/90 unit</t>
  </si>
  <si>
    <t>13 jenis/42 unit</t>
  </si>
  <si>
    <t>18 jenis/115 unit</t>
  </si>
  <si>
    <t>Pengadaan mebeleur</t>
  </si>
  <si>
    <t>Terlaksananya pengadaan mebeleur</t>
  </si>
  <si>
    <t>2 jenis/7 unit</t>
  </si>
  <si>
    <t>20 unit</t>
  </si>
  <si>
    <t>4 jenis/53 unit</t>
  </si>
  <si>
    <t>Pengadaan rumah dinas/gedung kantor</t>
  </si>
  <si>
    <t>Terlaksananya Pembuatan DED dan Pembangunan Gedung Kantor</t>
  </si>
  <si>
    <t>7 dokumen DED</t>
  </si>
  <si>
    <t>3 dokumen DED</t>
  </si>
  <si>
    <t>Pemeliharaan rutin/berkala gedung kantor</t>
  </si>
  <si>
    <t>Terlaksananya pemeliharaan  gedung  kantor</t>
  </si>
  <si>
    <t>3 gedung</t>
  </si>
  <si>
    <t>1 gedung</t>
  </si>
  <si>
    <t>Pemeliharaan rutin/berkala kendaraan dinas/operasional</t>
  </si>
  <si>
    <t>Terlaksananya pemeliharaan kendaraan operasional roda 4 dan roda 2</t>
  </si>
  <si>
    <t>12 roda 4 dan 24 roda 2</t>
  </si>
  <si>
    <t>13 roda 4, 25 roda 2</t>
  </si>
  <si>
    <t>Pemeliharaan rutin/berkala perlengkapan gedung kantor</t>
  </si>
  <si>
    <t>Terlaksananya pemeliharaan perlengkapan gedung  ktr</t>
  </si>
  <si>
    <t>Pemeliharaan rutin/berkala peralatan gedung kantor</t>
  </si>
  <si>
    <t>Terlaksananya pemeliharaan peralatan dan gedung  ktr</t>
  </si>
  <si>
    <t>Rehabilitasi sedang/berat gedung kantor</t>
  </si>
  <si>
    <t>Terlaksananya Rehabilitasi Gedung Kantor</t>
  </si>
  <si>
    <t>112 unit</t>
  </si>
  <si>
    <t>1 lahan parkir</t>
  </si>
  <si>
    <t>107 unit</t>
  </si>
  <si>
    <t>2 gudang, 2 ktr UPT, 1 ruang pelayanan PBB</t>
  </si>
  <si>
    <t>1 lahan parkir, 2 ruangan</t>
  </si>
  <si>
    <t>PROGRAM PENINGKATAN DISIPLIN APARATUR</t>
  </si>
  <si>
    <t>330 pasang</t>
  </si>
  <si>
    <t>Pengadaan Pakaian Khusus hari-hari tertentu</t>
  </si>
  <si>
    <t>Tersedianya  Pakaian Khusus hari-hari tertentu</t>
  </si>
  <si>
    <t>110 pasang</t>
  </si>
  <si>
    <t>130 pasang</t>
  </si>
  <si>
    <t>PROGRAM PENINGKATAN KAPASITAS SUMBER DAYA APARATUR</t>
  </si>
  <si>
    <t>Penyediaan Pakaian Dinas Pegawai</t>
  </si>
  <si>
    <t>Terlaksananya Program Peningkatan Kapasitas Sumber Daya Aparatur melalui pengiriman PNS DPKD untuk mengikuti Bimtek dan Pelaksanaan In House Training</t>
  </si>
  <si>
    <t>Bimbingan teknis implementasi peraturan perundang-undangan</t>
  </si>
  <si>
    <t>Pengiriman PNS DPKD untuk mengikuti  bimbingan Teknis implementasi peraturan perundang-undangan</t>
  </si>
  <si>
    <t>Peningkatan Kemampuan Teknis Aparatur</t>
  </si>
  <si>
    <t>Terlaksananya Kegiatan Peningkatan Pelatihan Kantor Sendiri ( In House Training)</t>
  </si>
  <si>
    <t>04</t>
  </si>
  <si>
    <t>40 kali pengiriman</t>
  </si>
  <si>
    <t>3 kegiatan</t>
  </si>
  <si>
    <t>50 orang</t>
  </si>
  <si>
    <t>40 Kali Pengiriman dan 3 Kegiatan</t>
  </si>
  <si>
    <t>40 kali pengiriman dan 50 orang</t>
  </si>
  <si>
    <t>PROGRAM PENINGKATAN PENGEMBANGAN SISTEM PELAPORAN CAPAIAN KINERJA DAN KEUANGAN</t>
  </si>
  <si>
    <t>Tersedianya Dokumen Peningkatan Keuangan Yang Valid, Transparan dan Reliabel</t>
  </si>
  <si>
    <t>Penyusunan laporan capaian kinerja dan ikhtisar realisasi kinerja SKPD</t>
  </si>
  <si>
    <t>Tersusunnya Laporan bahan penyusunan LPPD Kota Serang, Laporan bahan penyusunan LKPJ Kota Serang, Laporan Realisasi Fisik dan Keuangan SKPD, Laporan Keuangan Akhir Tahun, LAKIP SKPD, TAPKIN SKPD, Buku Selayang Pandang SKPD, Buku Profile SKPD, Aplikasi Pelaporan Perjalanan DInas, Laporan Belanja Fungsional dan Laporan Semesteran dan Prognosis SKPD</t>
  </si>
  <si>
    <t>8 dokumen, 1 aplikasi</t>
  </si>
  <si>
    <t xml:space="preserve">3 dokumen dan 1 aplikasi </t>
  </si>
  <si>
    <t>9 dokumen, 1 aplikasi</t>
  </si>
  <si>
    <t>Penyusunan pelaporan prognosis realisasi anggaran</t>
  </si>
  <si>
    <t>Tersedianya buku laporan prognosis kota serang</t>
  </si>
  <si>
    <t>70 buku</t>
  </si>
  <si>
    <t>5 dokumen</t>
  </si>
  <si>
    <t>50 buku</t>
  </si>
  <si>
    <t>Penyusunan Rencana Kerja dan Anggaran SKPD</t>
  </si>
  <si>
    <t>Tersusunnya DPA SKPD dan SKPKD TA 2014, RKA SKPD dan SKPKD Perubahan 2014, DPA SKPD dan SKPKD Perubahan 2014, RKA SKPD dan SKPKD 2015</t>
  </si>
  <si>
    <t>Penyediaan data, dokumentasi, informatika dan komunikasi SKPD</t>
  </si>
  <si>
    <t>Tersimpannya dokumen-dokumen pengelolaan keuangan daerah dalam bentuk digital</t>
  </si>
  <si>
    <t>Penyusunan Rencana Strategis SKPD</t>
  </si>
  <si>
    <t>Tersusunnya Renstra SKPD Tahun 2014-2018</t>
  </si>
  <si>
    <t>Penyusunan Rencana Kerja</t>
  </si>
  <si>
    <t>Terlaksananya Kegiatan Penyusunan Rencana Kerja SKPD</t>
  </si>
  <si>
    <t>PROGRAM PENINGKATAN DAN PENGEMBANGAN PENGELOLAAN KEUANGAN DAERAH</t>
  </si>
  <si>
    <t>Terlaksananya Pengelolaan Keuangan Daerah yang Akuntabel</t>
  </si>
  <si>
    <t>Penyusunan standar satuan harga</t>
  </si>
  <si>
    <t>Tersedianya SSH TA 2013 dan Evaluasi SSH 2012</t>
  </si>
  <si>
    <t>Penyusunan Kebijakan Akuntansi Pemerintah Daerah</t>
  </si>
  <si>
    <t>Terlaksananya kegiatan penyusunan Kebijakan Akuntansi Pemerintah Daerah</t>
  </si>
  <si>
    <t>Penyusunan sistem dan prosedur pengelolaan keuangan daerah</t>
  </si>
  <si>
    <t>Tersusunnya Pedoman Tentang Sistem dan Prosedur Pengelolaan keuangan daerah Kota Serang</t>
  </si>
  <si>
    <t>Penyusunan rancangan peraturan daerah tentang APBD</t>
  </si>
  <si>
    <t>Terlaksananya kegiatan penyusunan rancangan perda Tentang APBD, Nota keuangan dan Penelitian RKA/DPA</t>
  </si>
  <si>
    <t>100 buku</t>
  </si>
  <si>
    <t>60 buku</t>
  </si>
  <si>
    <t>1 dokumen, 3 kegiatan</t>
  </si>
  <si>
    <t>1 dokumen, 4 kegiatan</t>
  </si>
  <si>
    <t>Penyusunan rancangan peraturan KDH tentang penjabaran APBD</t>
  </si>
  <si>
    <t>Terlaksananya kegiatan penyusunan rancangan Perwal tentang APBD, Nota keuangan dan Penelitian RKA/DPA</t>
  </si>
  <si>
    <t>Penyusunan rancangan peraturan daerah tentang perubahan APBD</t>
  </si>
  <si>
    <t>Terlaksananya kegiatan penyusunan APBD Perubahan, Nota keuangan dan Pengantar Nota keuangan</t>
  </si>
  <si>
    <t>Penyusunan rancangan peraturan KDH tentang Penjabaran Perubahan APBD</t>
  </si>
  <si>
    <t>Penyusunan rancangan peraturan daerah tentang pertanggungjawaban pelaksanaan APBD</t>
  </si>
  <si>
    <t>Tersedianya informasi keuangan, terdiri dari LRA, Neraca,LAK, CaLK dan Perda Pertanggung Jawaban APBD</t>
  </si>
  <si>
    <t>Penyusunan rancangan peraturan KDH tentang penjabaran pertanggungjawaban pelaksanaan APBD</t>
  </si>
  <si>
    <t>Tersusunnya buku rancangan peraturan KDH ttg pertanggungjawaban pelaksanaan APBD</t>
  </si>
  <si>
    <t>15 buku</t>
  </si>
  <si>
    <t>20 buku</t>
  </si>
  <si>
    <t xml:space="preserve">Penyusunan Sistem Informasi Pengelolaan Keuangan </t>
  </si>
  <si>
    <t>Terlaksananya Sosialisasi dan Bimtek Penyusunan Sistem Informasi Pengelolaan Keuangan Daerah</t>
  </si>
  <si>
    <t>Sosialisasi paket regulasi tentang pengelolaan keuangan daerah</t>
  </si>
  <si>
    <t>Terlaksananya kegiatan sosialisasi paket regulasi tentang pengelolaan keuangan daerah</t>
  </si>
  <si>
    <t>Bimbingan teknis implementasi paket regulasi tentang pengelolaan keuangan daerah</t>
  </si>
  <si>
    <t>Terlaksananya Bimbingan teknis implementasi paket regulasi tentang pengelolaan keuangan daerah</t>
  </si>
  <si>
    <t xml:space="preserve">32 SKPD </t>
  </si>
  <si>
    <t>32 SKPD</t>
  </si>
  <si>
    <t>2 kali</t>
  </si>
  <si>
    <t>2 kgt</t>
  </si>
  <si>
    <t>4 kali</t>
  </si>
  <si>
    <t>30 SKPD</t>
  </si>
  <si>
    <t>3 kgt</t>
  </si>
  <si>
    <t>31 SKPD</t>
  </si>
  <si>
    <t>Intensifikasi dan ekstensifikasi sumber-sumber pendapatan daerah</t>
  </si>
  <si>
    <t xml:space="preserve">Terlaksananya kegiatan Pembinaan Wajib Pajak, Penyusunan Perwal Pajak ABT, Parkir dan PPJ Non PLN Sosialisasi Perwal Pajak ABT, Parkir dan PPJ Non PLN, Bulan Panutan, Evaluasi Pajak Daerah, Penghargaan Pajak Daerah, Pemuktahiran Data Wajib Pajak, Terlaksananya Kegiatan Louncing PBB P2, Updating Simpatda dan Terlaksananya Monitoring Kepatuhan Wajib Pajak                                                                                                                                                                                                                                                                                                                                                                                                                                                                                                                                                                                                                                                                                                                                                                                                                                                                                                                                                                                                                                                                                                                                                                                                                                                                                                                                                                                                                                                                                                                                                                                                             </t>
  </si>
  <si>
    <t>2 kgt, 1 sistem PBB P2 dan 10 dokumen kajian pajak daerah</t>
  </si>
  <si>
    <t>11 kgt, 1 sistem PBB P2</t>
  </si>
  <si>
    <t>Pengelolaan Sistem administrasi Gaji PNS Kota Serang</t>
  </si>
  <si>
    <t>Terlaksananya kegiatan Pengelolaan sistem Adm Gaji PNS Kota serang, terlaksananya Rekonsiliasi data Taperum dan Taspen</t>
  </si>
  <si>
    <t>Asistensi dan Evaluasi Laporan Keuangan dan Pertanggungjawaban Pengguna Anggaran</t>
  </si>
  <si>
    <t>Tersusunya laporan hasil rekonsiliasi belanja bulanan dan triwulanan TA 2014</t>
  </si>
  <si>
    <t>2 dokumen, 1 aplikasi</t>
  </si>
  <si>
    <t>2 dokumen, 1 aplikasi, 4 kegiatan</t>
  </si>
  <si>
    <t>32 laporan</t>
  </si>
  <si>
    <t>Evaluasi Pendapatan dan Belanja SKPD</t>
  </si>
  <si>
    <t>Terlaksananya kegiatan Evaluasi Pendapatan dan Belanja SKPD</t>
  </si>
  <si>
    <t>Penyusunan Pedoman  Pelaksanaan APBD</t>
  </si>
  <si>
    <t>Terarahnya Pelaksanaan Kegiatan dalam Pengelolaan APBD</t>
  </si>
  <si>
    <t>Pemeliharaan Sistem Informasi Pengelolaan Keuangan Daerah</t>
  </si>
  <si>
    <t>Terupdatenya sistem informasi pengelolaan keuangan daerah yang telah disesuaikan dengan peraturan pemerintah yang terbaru</t>
  </si>
  <si>
    <t>Penyusunan Laporan Rekapitulasi Penerimaan, Pengeluaran dan PFK</t>
  </si>
  <si>
    <t>Terlaksananya pembuatan laporan rekapitulasi penerimaan, pengeluaran dan PFK setiap bulan</t>
  </si>
  <si>
    <t>Pengelolaan dan Pemeliharaan Aset Pemerintah</t>
  </si>
  <si>
    <t>Terlaksananya pemeliharaan Panggung Reklame</t>
  </si>
  <si>
    <t>3 dokumen</t>
  </si>
  <si>
    <t>2 dokumen</t>
  </si>
  <si>
    <t>1 sistem</t>
  </si>
  <si>
    <t>12 dokumen dan 1 aplikasi</t>
  </si>
  <si>
    <t>120 buku, 1 sistem</t>
  </si>
  <si>
    <t>6 Panggung Reklame</t>
  </si>
  <si>
    <t>14 buah</t>
  </si>
  <si>
    <t>31 SPKD</t>
  </si>
  <si>
    <t>Peningkatan Akuntabilitas Laporan Keuangan Daerah</t>
  </si>
  <si>
    <t>Terlaksananya Penyusunan laporan Keuangan Daerah yang Akuntabel</t>
  </si>
  <si>
    <t>Penyelesaian Kerugian daerah</t>
  </si>
  <si>
    <t>Tersusunnya Dokumen Surat Keterangan Tanggungjawab Mutlak (SKTJM) dan Berita Acara Penyelesaian Kerugian daerah Pemerintah Kota Serang Masa Sidang MPTGR Tahun 2014</t>
  </si>
  <si>
    <t>Bimbingan Teknis Perencanaan Penganggaran</t>
  </si>
  <si>
    <t>Terlaksananya bimbingan teknis Perencanaan Penganggaran</t>
  </si>
  <si>
    <t>1 dokumen, 2 kegiatan</t>
  </si>
  <si>
    <t>3 kali</t>
  </si>
  <si>
    <t>120 peserta</t>
  </si>
  <si>
    <t>Pengelolaan PBB P2</t>
  </si>
  <si>
    <t>Tersedianya update data objek pajak bumi dan bangunan di Kota Serang</t>
  </si>
  <si>
    <t>Peningkatan Sumber Pendapatan lain-lain</t>
  </si>
  <si>
    <t>Tersedianya Laporan Pendapatan dari Sumber-sumber pendapatan lain</t>
  </si>
  <si>
    <t xml:space="preserve">Penyusunan Target Penerimaan Pajak Daerah </t>
  </si>
  <si>
    <t xml:space="preserve">Tersusunnya Dokumen target Penerimaan Pajak Daerah </t>
  </si>
  <si>
    <t>Penagihan Pajak Daerah</t>
  </si>
  <si>
    <t xml:space="preserve">Analisa Zona Nilai Tanah </t>
  </si>
  <si>
    <t>Tersusunnya  dokumen Zona Nilai Tanah diKota Serang yang telah dianalisis</t>
  </si>
  <si>
    <t>Updating Data PBB P2</t>
  </si>
  <si>
    <t>Terupdatenya data WP PBB P2</t>
  </si>
  <si>
    <t>4 laporan</t>
  </si>
  <si>
    <t>1 Dokumen</t>
  </si>
  <si>
    <t>10 Dokumen</t>
  </si>
  <si>
    <t>1 kgt</t>
  </si>
  <si>
    <r>
      <t>Tersusunnya dokumen Penagihan</t>
    </r>
    <r>
      <rPr>
        <sz val="11"/>
        <color indexed="8"/>
        <rFont val="Arial"/>
        <family val="2"/>
      </rPr>
      <t xml:space="preserve"> Pajak Daerah</t>
    </r>
  </si>
  <si>
    <t xml:space="preserve">Pemeriksaan dan Pengendalian Pajak Daerah </t>
  </si>
  <si>
    <t>Tersusunnya dokumen hasil pemeriksaan dan pengendalian pajak daerah</t>
  </si>
  <si>
    <t>3 Dokumen</t>
  </si>
  <si>
    <t>Pendistribusian dan pengendalian SPT PBB</t>
  </si>
  <si>
    <t>Penyampaian SPPT PBB sesuai dengan peruntukkannya</t>
  </si>
  <si>
    <t>236688 Objek Pajak</t>
  </si>
  <si>
    <t>Pembinaan Aparatur Pelaksana Pemungut Pajak Daerah</t>
  </si>
  <si>
    <t>Meningkatnya wawasan Aparatur Pelaksana Pemungut Pajak Daerah</t>
  </si>
  <si>
    <t>25 orang</t>
  </si>
  <si>
    <t>15 orang</t>
  </si>
  <si>
    <t>Pendataan Pajak Daerah Non PBB P2 dan BPHTB</t>
  </si>
  <si>
    <t>Tersusunnya dokumen hasi lPendataan Pajak Daerah Non PBB P2 dan BPHTB</t>
  </si>
  <si>
    <t>Pendataan Pajak Daerah PBB P2 dan BPHTB</t>
  </si>
  <si>
    <t>Tersusunnya dokumen hasi lPendataan Pajak Daerah PBB P2 dan BPHTB</t>
  </si>
  <si>
    <t>Verifikasi Data Objek Pajak Non PBB P2 dan BPHTB</t>
  </si>
  <si>
    <t>Tersusunnya dokumen hasil Verifikasi Data Objek Pajak Non PBB P2 dan BPHTB</t>
  </si>
  <si>
    <t>Verifikasi Data ObjekPajak PBB P2 dan BPHTB</t>
  </si>
  <si>
    <t>2 Dokumen</t>
  </si>
  <si>
    <r>
      <t xml:space="preserve">Tersusunnya dokumen hasil </t>
    </r>
    <r>
      <rPr>
        <sz val="11"/>
        <color indexed="8"/>
        <rFont val="Arial"/>
        <family val="2"/>
      </rPr>
      <t>Verifikasi Data ObjekPajak PBB P2 dan BPHTB</t>
    </r>
  </si>
  <si>
    <t>Sosialisasi Pajak Daerah Non PBB P2 dan BPHTB</t>
  </si>
  <si>
    <t>55 spanduk, 5 baliho,  penayangan siaran radio</t>
  </si>
  <si>
    <t>15 spanduk, 10 baliho,  penayangan siaran radio, 1 kegiatan</t>
  </si>
  <si>
    <r>
      <t>Jumlah Media sosialisasi Pajak Daerah</t>
    </r>
    <r>
      <rPr>
        <sz val="11"/>
        <color indexed="8"/>
        <rFont val="Arial"/>
        <family val="2"/>
      </rPr>
      <t xml:space="preserve"> Non PBB P2 dan BPHTB</t>
    </r>
  </si>
  <si>
    <t>Sosialisasi Pajak Daerah PBB P2 dan BPHTB</t>
  </si>
  <si>
    <t>Terlaksananya sosialisasi Pajak daerah PBB P2  dan BPHTB</t>
  </si>
  <si>
    <t>6 kgt</t>
  </si>
  <si>
    <t>Monitoring dan Evaluasi Non PBB P2 dan BPHTB</t>
  </si>
  <si>
    <r>
      <t xml:space="preserve">Tersusunnya dokumen hasil </t>
    </r>
    <r>
      <rPr>
        <sz val="11"/>
        <color indexed="8"/>
        <rFont val="Arial"/>
        <family val="2"/>
      </rPr>
      <t>Monitoring danEvaluasi Non PBB P2 dan BPHTB</t>
    </r>
  </si>
  <si>
    <t>Monitoring dan Evaluasi PBB P2 dan BPHTB</t>
  </si>
  <si>
    <r>
      <t xml:space="preserve">Tersusunnya laporan hasil </t>
    </r>
    <r>
      <rPr>
        <sz val="11"/>
        <color indexed="8"/>
        <rFont val="Arial"/>
        <family val="2"/>
      </rPr>
      <t>Monitoring dan  Evaluasi Non PBB P2 dan BPHTB</t>
    </r>
  </si>
  <si>
    <t>Pengembangan Teknologi Informasi PBB P2</t>
  </si>
  <si>
    <t>Meningkatnya sistem informasi PBB dengan baik</t>
  </si>
  <si>
    <t>1 Sietem</t>
  </si>
  <si>
    <t>Evaluasi Penyusunan APBD</t>
  </si>
  <si>
    <t xml:space="preserve"> Penyusunan APBD sesuai dengan peraturan perundang-undangan</t>
  </si>
  <si>
    <t>6 laporan</t>
  </si>
  <si>
    <t>Pedoman Penyusunan APBD</t>
  </si>
  <si>
    <t>Tersusunya RKA yang sesuai dengan peraturan perundang-undangan yang berlaku</t>
  </si>
  <si>
    <t>2 Surat Edaran Kepala Daerah</t>
  </si>
  <si>
    <t>Penyusunan Pokok-Pokok Pengelolaan Keuangan Daerah</t>
  </si>
  <si>
    <t>Tersusunnya Pokok-Pokok Pengelolaan Keuangan Daerah</t>
  </si>
  <si>
    <t>Pengembangan dan Fasilitasi TAPD</t>
  </si>
  <si>
    <t>Peningkatan Kinerja TAPD Kota Serang dalam Penyusunan APBD</t>
  </si>
  <si>
    <t>4 kgt</t>
  </si>
  <si>
    <t>Penyusunan LKPD</t>
  </si>
  <si>
    <t>Tersusunnya laporan realisasi APBD Akhir Tahun sebagai bahan Audit BPK</t>
  </si>
  <si>
    <t>Rekonsiliasi Realisasi Anggaran Belanja Daerah</t>
  </si>
  <si>
    <t>Tersusunnya laporan realisasi belanja bulanan</t>
  </si>
  <si>
    <t>Rekonsiliasi Realisasi Anggaran Pendapatan  Daerah</t>
  </si>
  <si>
    <t xml:space="preserve">Tersedianya rekonsiliasi penerimaan </t>
  </si>
  <si>
    <t>Pembinaan Wajib Pajak</t>
  </si>
  <si>
    <t>Peningkatan Pendapatan Asli Daerah</t>
  </si>
  <si>
    <t>1 kgt/100 WP</t>
  </si>
  <si>
    <t>Pengelolaan Pajak Reklame</t>
  </si>
  <si>
    <t>Tertib adminitrasi Papan reklame yang terpasang</t>
  </si>
  <si>
    <t>Rekonsiliasi Pajak Bumi dan Bangunan</t>
  </si>
  <si>
    <t>Terlaksanannya Rekonsiliasi Pajak Bumi dan bangunan</t>
  </si>
  <si>
    <t>Pemeriksaan dan monitoring kepatuhan wajib pajak</t>
  </si>
  <si>
    <t>Terlaksananya pemeriksaan dan monitoring kepada wajib pajak</t>
  </si>
  <si>
    <t>Bulan Panutan dan Evaluasi Pajak Bumi dan bangunan</t>
  </si>
  <si>
    <t>Terlaksananya kegiatan Bulan Panutan dan Evaluasi PBB</t>
  </si>
  <si>
    <t>Penghargaan pajak daerah</t>
  </si>
  <si>
    <t>Peningkatan kewajiban dalam membayar Pajak Daerah oleh WP</t>
  </si>
  <si>
    <t xml:space="preserve"> </t>
  </si>
  <si>
    <t>9500 benda pos, 60 bulan perangko berlangganan</t>
  </si>
  <si>
    <t>5 tahun</t>
  </si>
  <si>
    <t>60 bulan</t>
  </si>
  <si>
    <t>36 Bulan</t>
  </si>
  <si>
    <t>82 roda 4 dan 171 roda 2</t>
  </si>
  <si>
    <t>7 Gedung</t>
  </si>
  <si>
    <t>16 Gedung</t>
  </si>
  <si>
    <t>48 bulan</t>
  </si>
  <si>
    <t>7 roda 4, 18 roda 2</t>
  </si>
  <si>
    <t>33 jenis/222 unit</t>
  </si>
  <si>
    <t>87 jenis/667 unit</t>
  </si>
  <si>
    <t>24 jenis/183 unit</t>
  </si>
  <si>
    <t>10 dokumen DED, 3 gedung</t>
  </si>
  <si>
    <t>23 Gedung</t>
  </si>
  <si>
    <t>91 roda 4 dan 188 roda 2</t>
  </si>
  <si>
    <t>18 roda 4 dan 38 roda 2</t>
  </si>
  <si>
    <t>560 unit</t>
  </si>
  <si>
    <t>4 tahun</t>
  </si>
  <si>
    <t>2 lahan parkir, 4 ruangan</t>
  </si>
  <si>
    <t>850 stel</t>
  </si>
  <si>
    <t>Pengadaan Pakaian Dinas Harian (PDH) beserta kelengkapannya</t>
  </si>
  <si>
    <t>1240 Stel</t>
  </si>
  <si>
    <t>390 stel</t>
  </si>
  <si>
    <t>40 kali pengiriman peserta, 48 kali pengiriman</t>
  </si>
  <si>
    <t>15 Kegiatan</t>
  </si>
  <si>
    <t>49 dokumen, 5 aplikasi</t>
  </si>
  <si>
    <t>120 buku, 3 dokumen</t>
  </si>
  <si>
    <t>32 dokumen</t>
  </si>
  <si>
    <t>60 kali tayang iklan/advetorial, 1 sistem aplikasi, 4 sistem informasi, 4 kegiatan</t>
  </si>
  <si>
    <t>4 Dokumen</t>
  </si>
  <si>
    <t>8 dokumen</t>
  </si>
  <si>
    <t>60 buku, 8 dokumen, 31 SKPD</t>
  </si>
  <si>
    <t>70 buku Perda tentang APBD, 7 Kegiatan, 4 Dokumen</t>
  </si>
  <si>
    <t>70 buku Perwal tentang Penjabaran APBD, 4 kegiatan, 4 dokumen</t>
  </si>
  <si>
    <t>70 buku Perda tentang Perubahan APBD, 7 Kegiatan, 4 dokumen</t>
  </si>
  <si>
    <t>70 buku Perwal tentang PenjabaranPerubahan APBD, 4 Kegiatan, 4 dokumen</t>
  </si>
  <si>
    <t>9 dokumen</t>
  </si>
  <si>
    <t>7 dokumen</t>
  </si>
  <si>
    <t>3 modul (perencanaan, penatausahaan dan pertanggungjawaban), 4 paket integrasi, 31 SKPD</t>
  </si>
  <si>
    <t>3 modul (perencanaan, penatausahaan dan pertanggungjawaban)</t>
  </si>
  <si>
    <t>17 kegiatan, 1 Perwal Pedoman Pembayaran APBD</t>
  </si>
  <si>
    <t>160 orang dan 20 satgas, 11 kali bimtek, 216 orang</t>
  </si>
  <si>
    <t>11 kegiatan, 1 sistem PBB P2</t>
  </si>
  <si>
    <t>2 dokumen, 1 aplikasi, 10 kegiatan, 4 triwulan, 120 buku berita acara rekonsiliasi</t>
  </si>
  <si>
    <t>4 triwulan, 3 kegiatan</t>
  </si>
  <si>
    <t>2 dokumen, 32 laporan hasil evaluasi pendapatan dan 32 laporan hasil evaluasi belanja</t>
  </si>
  <si>
    <t>5 dokumen, 30 SKPD, 2 kgt</t>
  </si>
  <si>
    <t>5 sistem informasi PKD</t>
  </si>
  <si>
    <t>3 sistem</t>
  </si>
  <si>
    <t>18 dokumen, 1 sistem</t>
  </si>
  <si>
    <t>120 buku, 1 tim tugas, 7 laporan restatment, 10 laporan satgas dan 7 laporan restatment akrual, 31 SKPD, 8 TW</t>
  </si>
  <si>
    <t>5 dokumen, 5 kegiatan</t>
  </si>
  <si>
    <t>960 Peserta</t>
  </si>
  <si>
    <t>6 Dokumen, 100 WP/kesinambungan pemanfaatan aplikasi SIMPATDA, 18 kgt</t>
  </si>
  <si>
    <t>69271 OP</t>
  </si>
  <si>
    <t>710.064 OP, 30 Kec, 330 Kel</t>
  </si>
  <si>
    <t>7 Dokumen</t>
  </si>
  <si>
    <t>9 dokumen, 28300 OP massal, 138 OP individu</t>
  </si>
  <si>
    <t>55 spanduk, 5 baliho, 8x penayangan siaran radio, 4 keg, 400 orang</t>
  </si>
  <si>
    <t>1 keg (100 orang)</t>
  </si>
  <si>
    <t>25 Kgt</t>
  </si>
  <si>
    <t>5 Dok</t>
  </si>
  <si>
    <t>2 laporan hasil monitoring dan evaluasi, 9 triwulan</t>
  </si>
  <si>
    <t>12 laporan evaluasi</t>
  </si>
  <si>
    <t>2 Surat Edaran Kepala Daerah, 6 dokumen</t>
  </si>
  <si>
    <t>16 Kgt</t>
  </si>
  <si>
    <t>16 Dokumen</t>
  </si>
  <si>
    <t>41 laporan</t>
  </si>
  <si>
    <t>32 Laporan</t>
  </si>
  <si>
    <t>16 SKPD dan 2 SKPKD, 24 laporan hasil rekonsiliasi bulanan</t>
  </si>
  <si>
    <t>7 Kgt/700 WP</t>
  </si>
  <si>
    <t>12 laporan kegiatan, 3 dokumen</t>
  </si>
  <si>
    <t>4 dokumen rekonsiliasi, 12 Kgt</t>
  </si>
  <si>
    <t>1 Dokumen, 30 WP</t>
  </si>
  <si>
    <t>4 Kgt</t>
  </si>
  <si>
    <t>Pembinaan Aparatur Pemungut Retribusi Daerah</t>
  </si>
  <si>
    <t>Terpenuhinya kemampuan Aparatur Pemungut Retribusi di Kota Serang</t>
  </si>
  <si>
    <t>6 Kgt, 232 Peserta</t>
  </si>
  <si>
    <t>Verifikasi Pelaporan dan Monitoring Kepatuhan Wajib Pajak</t>
  </si>
  <si>
    <t>Tersedianya hasil Verifikasi dan Monitoring Kepatuhan Wajip Pajak Non PBB P2 dan BPHTB</t>
  </si>
  <si>
    <t>90 WP</t>
  </si>
  <si>
    <t>Peningkatan Objek Pajak PBB P2</t>
  </si>
  <si>
    <t>Meningkatnya Pajak PBB P2 dan BPHTB</t>
  </si>
  <si>
    <t>Proses Pelayanan Perkantoran berjalan sesuai dengan yang diharapkan</t>
  </si>
  <si>
    <t>Terlaksananya proses kegiatan surat menyurat</t>
  </si>
  <si>
    <t>Lancarnya komunikasi untuk meningkatkan kinerja</t>
  </si>
  <si>
    <t>Terbitnya STNK Kendaraan Dinas/Operasional</t>
  </si>
  <si>
    <t>Terciptanya kenyamanan dalam bekerja</t>
  </si>
  <si>
    <t>Terciptanyan kelancaran kerja dan pelayanan kepada masyarakat</t>
  </si>
  <si>
    <t>Terwujudnya kelancaran kerja</t>
  </si>
  <si>
    <t>Tersedianya Komponen instalasi listrik/penerangan bangunan kantor</t>
  </si>
  <si>
    <t>Tersedianya peralatan rumah tangga</t>
  </si>
  <si>
    <t>Bertambahnya wawasan ilmu pengetahuan</t>
  </si>
  <si>
    <t>Tersediaan makan dan minum</t>
  </si>
  <si>
    <t>Terlaksananya koordinasi dan konsultasi ke luar daerah secara maksimal</t>
  </si>
  <si>
    <t>Terlaksananya koordinasi dan konsultasi dalam daerah secara maksimal</t>
  </si>
  <si>
    <t>Pelaksanaan Tugas Dan Fungsi berjalan sesuai dengan diharapkan</t>
  </si>
  <si>
    <t>Terpenuhinya sarana mobilitas darat</t>
  </si>
  <si>
    <t>Tersedianya perlengkapan gedung kantor</t>
  </si>
  <si>
    <t>Terpenuhinya peralatan gedung kantor</t>
  </si>
  <si>
    <t>Bermanfaat sebagai sarana penunjang kerja</t>
  </si>
  <si>
    <t>Tersedianya DED dan pengadaan gedung kantor sesuai dengan kebutuhan</t>
  </si>
  <si>
    <t>Terpeliharanya gedung kantor</t>
  </si>
  <si>
    <t xml:space="preserve">terawatnya kendaraan dinas/operasional </t>
  </si>
  <si>
    <t>Terpeliharanya perlengkapan gedung kantor</t>
  </si>
  <si>
    <t>Terpeliharanya peralatan gedung kantor</t>
  </si>
  <si>
    <t>Tersedianya ruangan yang dibutuhkan</t>
  </si>
  <si>
    <t>Peningkatan Disiplin Aparatur</t>
  </si>
  <si>
    <t>Tersedianya pakaian batik Pakaian Seragam Khusus dan olah raga</t>
  </si>
  <si>
    <t>Tersedianya pakaian dinas harian, Limas, dan Korpri</t>
  </si>
  <si>
    <t>Peningkatan SDM aparatur yang memiliki kompetensi teknis yang diharapkan</t>
  </si>
  <si>
    <t>Tersedianya SDM aparatur yang memiliki kompetensi teknis</t>
  </si>
  <si>
    <t>Meningkatnya kemampuan teknis aparatur pengelola keuangan PNS DPKD Kota Serang</t>
  </si>
  <si>
    <t>Peningkatan dan Pengembangan Sistem Pelaporan Capaian Kinerja dan Keuangan</t>
  </si>
  <si>
    <t>Tersedianya Laporan bahan penyusunan LPPD Kota Serang, Laporan bahan penyusunan LKPJ Kota Serang, Laporan Realisasi Fisik dan Keuangan SKPD, Laporan Keuangan Akhir Tahun, LAKIP SKPD, TAPKIN SKPD, Buku Selayang Pandang SKPD, Buku Profile SKPD, Aplikasi Pelaporan Perjalanan DInas, Laporan Belanja Fungsional dan Laporan Semesteran dan Prognosis SKPD</t>
  </si>
  <si>
    <t xml:space="preserve">Tersedianya DPA SKPD dan SKPKD, RKA SKPD dan SKPKD Perubahan , DPA SKPD dan SKPKD Perubahan , RKA SKPD dan SKPKD </t>
  </si>
  <si>
    <t>Tersedianya dokumen pengelolaan keuangan daerah dalam bentuk sistem aplikasi</t>
  </si>
  <si>
    <t>Tersedianya Renstra SKPD Tahun 2014-2018</t>
  </si>
  <si>
    <t xml:space="preserve">Tersedianya Renja SKPD </t>
  </si>
  <si>
    <t xml:space="preserve">Tersedianya Laporan Keuangan Priodik </t>
  </si>
  <si>
    <t>Tersedianya laporan keuangan berbasis akrual ( dok )</t>
  </si>
  <si>
    <t>Tersedianya sistem pengelolaan keuangan daerah (Sistem dan Dokumen)</t>
  </si>
  <si>
    <t>Meningkatnya Kemampuan kapasitas aparatur pengelola keuangan daerah (keg )</t>
  </si>
  <si>
    <t>Tersedianya data Objek Pajak ( OP )</t>
  </si>
  <si>
    <t>tersedianya dokumen pendukung Pendapatan Pajak Daerah (dokumen)</t>
  </si>
  <si>
    <t>Meningkatnya Pendapatan Pajak Daerah (Rp)</t>
  </si>
  <si>
    <t>60 Bulan</t>
  </si>
  <si>
    <t>40 pengiriman peserta, 48 kali pengiriman, 15 Kegiatan</t>
  </si>
  <si>
    <t>96 dokumen, 120 buku, 10 sistem aplikasi,60 kali tayang iklan/advetorial 4 kegiatan</t>
  </si>
  <si>
    <t>3 dok</t>
  </si>
  <si>
    <t>4 Sistem</t>
  </si>
  <si>
    <t>23 keg</t>
  </si>
  <si>
    <t>277,084 OP</t>
  </si>
  <si>
    <t>103 Dokumen</t>
  </si>
  <si>
    <t>Rp 92,141,907,400</t>
  </si>
  <si>
    <t>3 Sistem</t>
  </si>
  <si>
    <t>4 keg</t>
  </si>
  <si>
    <t>14 Dokumen</t>
  </si>
  <si>
    <t>Pajak Daerah (Rp Juta) Rp 67,029,484,443</t>
  </si>
  <si>
    <t>69,271 OP</t>
  </si>
  <si>
    <t>Pajak Daerah (Rp Juta) Rp 66,354,000,000</t>
  </si>
  <si>
    <t>28 Dokumen</t>
  </si>
  <si>
    <t>24 Bulan</t>
  </si>
  <si>
    <t>9 jenis/78 unit</t>
  </si>
  <si>
    <t>18 roda 4, 38 roda 2</t>
  </si>
  <si>
    <t>20 Unit</t>
  </si>
  <si>
    <t>2 kegiatan</t>
  </si>
  <si>
    <t>2 Dokumen, 2 Kegiatan</t>
  </si>
  <si>
    <t>3 dokumen (100 buku)</t>
  </si>
  <si>
    <t>2 Regulasi</t>
  </si>
  <si>
    <t>1 Regulasi (Perwal)</t>
  </si>
  <si>
    <t>1 Perwal</t>
  </si>
  <si>
    <t>4 Kegiatan</t>
  </si>
  <si>
    <t>216 Orang</t>
  </si>
  <si>
    <t>1 Dokumem, 1 Kgt</t>
  </si>
  <si>
    <t>4 TW</t>
  </si>
  <si>
    <t>30 orang paham PBB P2, 4 kegiatan, 4 Tahun</t>
  </si>
  <si>
    <t>1 Kegiatan, 1 Tahun</t>
  </si>
  <si>
    <t>1 kegiatan, 1 Tahun</t>
  </si>
  <si>
    <t>69.271 OP</t>
  </si>
  <si>
    <t>221.957 Objek Pajak, 6 Kec, 66 Kel</t>
  </si>
  <si>
    <t>236.688 OP, 6 Kec, 66 Kel</t>
  </si>
  <si>
    <t>8 Kgt, 400 Peserta</t>
  </si>
  <si>
    <t>1 kgt (100 orang)</t>
  </si>
  <si>
    <t>4 kgt, 191.108 OP</t>
  </si>
  <si>
    <t>1 Kegiatan (100 orang)</t>
  </si>
  <si>
    <t>2 Laporan hasil monitoring dan evaluasi</t>
  </si>
  <si>
    <t>3 Laporan</t>
  </si>
  <si>
    <t>2 laporan</t>
  </si>
  <si>
    <t>3 Kgt</t>
  </si>
  <si>
    <t>7 kgt</t>
  </si>
  <si>
    <t>8 SKPD, 1 SKPKD</t>
  </si>
  <si>
    <t>2 Laporan kegiatan</t>
  </si>
  <si>
    <t>3 laporan kegiatan</t>
  </si>
  <si>
    <t>1 Kgt</t>
  </si>
  <si>
    <t>30 WP</t>
  </si>
  <si>
    <t>Target Kinerja Capaian Program     (Renstra SKPD)  Tahun 2018</t>
  </si>
  <si>
    <t>Badan Pengelolaan Keuangan Dan Aset Daerah Kota Serang Provinsi Banten s/d Tahun 2017</t>
  </si>
  <si>
    <t>Realisasi Target Kinerja Hasil Program dan Keluaran Kegiatan s/d Tahun 2015 (tahun n-3)</t>
  </si>
  <si>
    <t>Target dan Realisasi Kinerja Program dan Kegiatan Tahun 2016</t>
  </si>
  <si>
    <t>Target Renja Tahun 2016</t>
  </si>
  <si>
    <t>Realisasi Renja Tahun 2016</t>
  </si>
  <si>
    <t>Target Program dan Kegiatan Tahun 2017</t>
  </si>
  <si>
    <t>Perkiraan Realisasi Capaian Target Renstra Tahun 2017</t>
  </si>
  <si>
    <t>Realisasi Capaian Program dan Kegiatan Tahun 2017</t>
  </si>
  <si>
    <t>2900 benda pos dan 24 bulan perangko berlangganan</t>
  </si>
  <si>
    <t>2350 benda pos dan 12 bulan perangko berlangganan</t>
  </si>
  <si>
    <t>3000 benda pos, 12 bulan perangko berlangganan</t>
  </si>
  <si>
    <t>5350 benda pos dan 48 bulan perangko berlangganan</t>
  </si>
  <si>
    <t>48 Bulan</t>
  </si>
  <si>
    <t>28 roda 4 dan 57 roda 2</t>
  </si>
  <si>
    <t>16 roda 4 dan 34 roda 2</t>
  </si>
  <si>
    <t>17 roda 4 dan 36 roda 2</t>
  </si>
  <si>
    <t>61 roda 4 dan 127 roda 2</t>
  </si>
  <si>
    <t>4 Gedung</t>
  </si>
  <si>
    <t>10 Gedung</t>
  </si>
  <si>
    <t>24 bulan</t>
  </si>
  <si>
    <t xml:space="preserve"> 48 bulan</t>
  </si>
  <si>
    <t>10 gedung</t>
  </si>
  <si>
    <t>2 tahun</t>
  </si>
  <si>
    <t>4 Tahun</t>
  </si>
  <si>
    <t>4 roda 4, 11 roda 2</t>
  </si>
  <si>
    <t>51 jenis/251 unit</t>
  </si>
  <si>
    <t>10 jenis/15 unit</t>
  </si>
  <si>
    <t>20 jenis/101 unit</t>
  </si>
  <si>
    <t>81 jenis/367 unit</t>
  </si>
  <si>
    <t>11 jenis/92 unit</t>
  </si>
  <si>
    <t>3 set</t>
  </si>
  <si>
    <t>4 Jenis/32 Unit</t>
  </si>
  <si>
    <t>15 jenis/124 unit</t>
  </si>
  <si>
    <t>7 dokumen DED, 1 Gedung, 12 Bulan(1 Gedung)</t>
  </si>
  <si>
    <t>6 gedung</t>
  </si>
  <si>
    <t>12 gedung</t>
  </si>
  <si>
    <t>31 roda 4, 62 roda 2</t>
  </si>
  <si>
    <t>66 roda 4 dan 136 roda 2</t>
  </si>
  <si>
    <t>232 unit</t>
  </si>
  <si>
    <t>272 unit</t>
  </si>
  <si>
    <t>158 unit, 1 jaringan komputer</t>
  </si>
  <si>
    <t>224 unit, 1 Jaringan Komputer</t>
  </si>
  <si>
    <t>1 tahun, 382 Unit, 2 Jaringan Komputer</t>
  </si>
  <si>
    <t>2 lahan parkir, 2 ruangan</t>
  </si>
  <si>
    <t>286 stel</t>
  </si>
  <si>
    <t>80 stel</t>
  </si>
  <si>
    <t>85 pasang</t>
  </si>
  <si>
    <t>451 pasang</t>
  </si>
  <si>
    <t>152 stel</t>
  </si>
  <si>
    <t>85 stel</t>
  </si>
  <si>
    <t>237 stel</t>
  </si>
  <si>
    <t>286 pasang</t>
  </si>
  <si>
    <t>232 pasang</t>
  </si>
  <si>
    <t>170 pasang</t>
  </si>
  <si>
    <t>688 pasang</t>
  </si>
  <si>
    <t>52 pengiriman peserta</t>
  </si>
  <si>
    <t xml:space="preserve">5 kali pengiriman </t>
  </si>
  <si>
    <t xml:space="preserve"> 4 kali pengiriman</t>
  </si>
  <si>
    <t>52 Pengiriman Pesera, 9 kali Pengiriman</t>
  </si>
  <si>
    <t>6 kegiatan</t>
  </si>
  <si>
    <t>1 kegiatan</t>
  </si>
  <si>
    <t>9 Kegiatan</t>
  </si>
  <si>
    <t>52 Kali Pengiriman Peserta dan 6 Kegiatan</t>
  </si>
  <si>
    <t>5 Kali Pengiriman dan 2 Kegiatan</t>
  </si>
  <si>
    <t>4 Kali Pengiriman dan 1 Kegiatan</t>
  </si>
  <si>
    <t>52 kali pengiriman peserta, 9 kali pengiriman, 9 kegiatan</t>
  </si>
  <si>
    <t>19 dokumen, 2 aplikasi</t>
  </si>
  <si>
    <t>9 Dokumen</t>
  </si>
  <si>
    <t>35 dokumen, 2 aplikasi</t>
  </si>
  <si>
    <t>120 buku</t>
  </si>
  <si>
    <t>120 buku, 2 dokumen</t>
  </si>
  <si>
    <t>Penyusunan Pelaporan Keuangan Akhir Tahun</t>
  </si>
  <si>
    <t>Tersusunnya Laporan Keuangan Triwulan SKPD,Laporan Keuangan Triwulanan SKPKD, Laporan
Semesteran, Laporan Keuangan Unaudit,
Tersusunnya Laporan Keuangan Audit</t>
  </si>
  <si>
    <t>20 Dokumen</t>
  </si>
  <si>
    <t>24 dokumen</t>
  </si>
  <si>
    <t>1 aplikasi, 1 sistem informasi, 1 kegiatan</t>
  </si>
  <si>
    <t>1 Sistem Informasi</t>
  </si>
  <si>
    <t>1 sistem informasi, 2 kegiatan</t>
  </si>
  <si>
    <t>1 aplikasi, 3 sistem informasi, 3 kegiatan</t>
  </si>
  <si>
    <t>6 dokumen</t>
  </si>
  <si>
    <t>31 Dokumen, 120 Buku, 2 aplikasi, 1 kegiatan</t>
  </si>
  <si>
    <t xml:space="preserve">20 Dokumen, 120 Buku, 1 sistem aplikasi, </t>
  </si>
  <si>
    <t>29 Dokumen, 1 sistem aplikasi, 2 kegiatan</t>
  </si>
  <si>
    <t>80 Dokumen, 120 Buku, 6 sistem aplikasi, 3 kegiatan</t>
  </si>
  <si>
    <t>60 buku, 2 dokumen, 31 SKPD</t>
  </si>
  <si>
    <t>2 Dokumen, 2 kegiatan</t>
  </si>
  <si>
    <t>60 Buku, 6 dokumen, 31 SKPD, 2 kegiatan</t>
  </si>
  <si>
    <t xml:space="preserve">- Tersusunnya Perwal tentang SSH TA.2018    - Tersusunnya Perwal Tentang SSH Perubahan TA.2017  - Tersosialisasikannya SSH </t>
  </si>
  <si>
    <t>Tersusunnya Buku Kebijakan Akuntansi</t>
  </si>
  <si>
    <t>100 Buku</t>
  </si>
  <si>
    <t xml:space="preserve">1 Dokumen </t>
  </si>
  <si>
    <t>2 Dokumen, 100 Buku</t>
  </si>
  <si>
    <t>1 dokumen ( 60 Buku), 1 Regulasi</t>
  </si>
  <si>
    <t>4 Dokumen (Regulasi)</t>
  </si>
  <si>
    <t>5 Dokumen Regulasi(Perwal), 1 kegiatan</t>
  </si>
  <si>
    <t>1 dokumen (70 buku), 7 kegiatan, 1 Dokumen</t>
  </si>
  <si>
    <t>1 dokumen (70 buku), 7 kegiatan, 3 dokumen</t>
  </si>
  <si>
    <t>1 dokumen (70 Buku), 4 kegiatan, 1 Dokumen</t>
  </si>
  <si>
    <t>1 Dokumen (Perwal)</t>
  </si>
  <si>
    <t>1 dokumen (70 buku), 4 kegiatan, 3 dokumen</t>
  </si>
  <si>
    <t>1 Dokumen (Perda)</t>
  </si>
  <si>
    <t>1 dokumen ( 70 Buku), 7 kegiatan, 1 Dokumen</t>
  </si>
  <si>
    <t>1 dokumen (70 Buku), 7 kegiatan, 3 dokumen</t>
  </si>
  <si>
    <t xml:space="preserve">    </t>
  </si>
  <si>
    <t>1 dokumen (70 Buku), 4 kegiatan, 3 dokumen</t>
  </si>
  <si>
    <t>3 Paket Integrasi Sistem) ( Penganggaran, penatausahaan dan pertanggungjawaban</t>
  </si>
  <si>
    <t>1 Paket Integrasi Sistem</t>
  </si>
  <si>
    <t>3 modul (perencanaan, penatausahaan dan pertanggungjawaban), 4 Paket Integrasi Sistem</t>
  </si>
  <si>
    <t>5 kgt, 1 Perwal</t>
  </si>
  <si>
    <t>2 Kgt</t>
  </si>
  <si>
    <t>11 kegiatan, 1 perwal</t>
  </si>
  <si>
    <t>160 orang dan 20 satgas, 4 kali Bimtek</t>
  </si>
  <si>
    <t>216 orang</t>
  </si>
  <si>
    <t>160 orang dan 20 satgas, 4 kali bimtek, 432 orang</t>
  </si>
  <si>
    <t>2 dokumen, 1 aplikasi, 7 kegiatan, 4 triwulan</t>
  </si>
  <si>
    <t>3 triwulan, 150 modul</t>
  </si>
  <si>
    <t>2 dokumen, 1 aplikasi, 10 kegiatan, 8 triwulan, 150 modul</t>
  </si>
  <si>
    <t>Peningkatan Manajemen Aset/Barang Daerah</t>
  </si>
  <si>
    <t>Pengumpulan data aset tetap, rekonsiliasi data aset tetap, Inventaris BMD, Penilaian BMD dan Pengamanan BMD</t>
  </si>
  <si>
    <t>6 Kecamatan, 66 Kelurahan</t>
  </si>
  <si>
    <t>30 SKPD, 6 Kec 66 Kel</t>
  </si>
  <si>
    <t>2 Dokumen,4 laporan hasil evaluasi pendapatan, 4 laporan hasil evaluasi belanja</t>
  </si>
  <si>
    <t>9 Laporan</t>
  </si>
  <si>
    <t xml:space="preserve">4 Laporan </t>
  </si>
  <si>
    <t xml:space="preserve">2 Dokumen, 17 Laporan </t>
  </si>
  <si>
    <t>30 SKPD, 2 Dokumen, 2 Kgt</t>
  </si>
  <si>
    <t>1 Dokumen, 1 Kgt</t>
  </si>
  <si>
    <t>30 SKPD, 4 Dokumen, 4 Kegiatan</t>
  </si>
  <si>
    <t>2 sistem</t>
  </si>
  <si>
    <t>4 sistem</t>
  </si>
  <si>
    <t>6 dokumen, 1 sistem</t>
  </si>
  <si>
    <t>4 Dokumen, 1 Kegiatan</t>
  </si>
  <si>
    <t>12 dok Lap.Penerimaan, Pengeluaran dan
PFK, 12 Dok Lap. Posisi Kas, 12 dok Lap.
NTPN
- 4 dok Lap. PPN dan Pph
- 45 peserta (1 keg)</t>
  </si>
  <si>
    <t>34 dokumen, 1 sistem, 1 Kgt</t>
  </si>
  <si>
    <t>Terlaksananya pemeliharaan Panggung Reklame, Terlaksananya monitoring BMD pada 31 SKPD   - tersusunnya laporan berkala pemeliharaan BMD pada 31 SKPD</t>
  </si>
  <si>
    <t xml:space="preserve"> 14 buah, 30 SKPD, 12 bulan, 4 laporan</t>
  </si>
  <si>
    <t>12 bulan, 4 laporan</t>
  </si>
  <si>
    <t>14 Buah, 30 SKPD, 12 bulan,4 laporan</t>
  </si>
  <si>
    <t>3 dokumen (120 buku),1 tim tugas, 7 laporan restatment, 10 laporan satgas, 7 laporan restatment akrual, 1 kegiatan(31 SKPD)</t>
  </si>
  <si>
    <t>120 buku, 1 tim tugas, 7 laporan restatment, 10 laporan satgas dan 7 laporan restatment akrual, 31 SKPD, 4 TW, 4 Kgt</t>
  </si>
  <si>
    <t>2 dokumen, 5 kegiatan</t>
  </si>
  <si>
    <t>6 dokumen, 5 kegiatan</t>
  </si>
  <si>
    <t>300 peserta</t>
  </si>
  <si>
    <t>87 peserta</t>
  </si>
  <si>
    <t>90 Peserta</t>
  </si>
  <si>
    <t>477 Peserta</t>
  </si>
  <si>
    <t>30 orang paham PBB P2, 1 Kgt, 1 Tahun</t>
  </si>
  <si>
    <t>30 orang paham PBB P2, 3 kegiatan, 3 Tahun</t>
  </si>
  <si>
    <t>4 laporan, 4 Kegiatan</t>
  </si>
  <si>
    <t>8 Kegiatan</t>
  </si>
  <si>
    <t>16 Kegiatan, 4 Laporan</t>
  </si>
  <si>
    <t>4 laporan, 16 kegiatan</t>
  </si>
  <si>
    <t>Penggunaaan dan Pemanfaatan Aset</t>
  </si>
  <si>
    <t>- Terlaksanananya pemanfaatan Tanah dan bangunan - terlaksananya daftar status pengguna BMD  - Terlaksananya Penghapusan dan pemindatanganan
BMD  - Terlaksananya bimtek penggunaan dan pemanfaatan</t>
  </si>
  <si>
    <t xml:space="preserve">36 (18 Buku Kajian 18 buku Keputusan) </t>
  </si>
  <si>
    <t>5 buku</t>
  </si>
  <si>
    <t>5 Buku</t>
  </si>
  <si>
    <t>3 Dokumen, 1 Kgt</t>
  </si>
  <si>
    <t>10 Buku, 3 dokumen, 1 Kgt</t>
  </si>
  <si>
    <t>2 Dokumen, 3 Kgt</t>
  </si>
  <si>
    <t>1 Dokumen, 4 Kegiatan</t>
  </si>
  <si>
    <t>2 Dokumen, 4 Kegiatan</t>
  </si>
  <si>
    <t>5 Dokumen, 100 WP, 11 Kegiatan</t>
  </si>
  <si>
    <t>199.761 OP, 6 Kec, 66 Kel</t>
  </si>
  <si>
    <t>658.406 Objek Pajak,  18 Kec, 198 Kel</t>
  </si>
  <si>
    <t>2 kgt (125 orang)</t>
  </si>
  <si>
    <t>1 kgt (50 orang)</t>
  </si>
  <si>
    <t>1 Kgt (75 peserta)</t>
  </si>
  <si>
    <t>4 kgt, 250 Peserta</t>
  </si>
  <si>
    <t>6 Dokumen</t>
  </si>
  <si>
    <t>49.186 OP</t>
  </si>
  <si>
    <t>32.802 OP</t>
  </si>
  <si>
    <t>2 Kgt, 81.988 OP</t>
  </si>
  <si>
    <t>2 Dokumen (1000 OP Massal, 28 OP khusus/individu)</t>
  </si>
  <si>
    <t>2 Dokumen (1000 OP &amp; 50 OP Khusus/Individu)</t>
  </si>
  <si>
    <t>3 dokumen op massal (  1500 op), 1 dokumen op individu ( 50 op )</t>
  </si>
  <si>
    <t>7 Dokumen, 35000 OP massal, 128 OP Individu</t>
  </si>
  <si>
    <t>55 spanduk, 5 baliho,8x  penayangan siaran radio, 1 Kgt, 100 org</t>
  </si>
  <si>
    <t>55 spanduk, 5 baliho,8x  penayangan siaran radio, 3 keg, 300 orang</t>
  </si>
  <si>
    <t>19 Kgt</t>
  </si>
  <si>
    <t>6 Kec (66 Kelurahan)</t>
  </si>
  <si>
    <t>6 Kecamatan ( 66 Kelurahan), 8 SKPD Penghasil</t>
  </si>
  <si>
    <t>2 laporan hasil monitoring dan evaluasi,12 Kecamatan (132 Kelurahan), 8 SKPD Penghasil</t>
  </si>
  <si>
    <t xml:space="preserve"> 2 Laporan</t>
  </si>
  <si>
    <t>2 Laporan</t>
  </si>
  <si>
    <t>7 laporan</t>
  </si>
  <si>
    <t>2 Surat Edaran Kepala Daerah, 3 Dokumen</t>
  </si>
  <si>
    <t>11 kgt</t>
  </si>
  <si>
    <t>10 dokumen</t>
  </si>
  <si>
    <t>38 Laporan</t>
  </si>
  <si>
    <t>16 SKPD dan 2 SKPKD, 3 laporan</t>
  </si>
  <si>
    <t>1 kgt/200 WP</t>
  </si>
  <si>
    <t>3 kgt/400 WP</t>
  </si>
  <si>
    <t>12 Dokumen</t>
  </si>
  <si>
    <t>36 dokumen</t>
  </si>
  <si>
    <t>52 dokumen</t>
  </si>
  <si>
    <t xml:space="preserve">1 Kgt </t>
  </si>
  <si>
    <t>60 WP</t>
  </si>
  <si>
    <t>17</t>
  </si>
  <si>
    <t>31</t>
  </si>
  <si>
    <t>PROGRAM PEMBINAAN DAN PENGELOLAAN BARANG DAERAH</t>
  </si>
  <si>
    <t>Penyusunan Data dan Informasi Kebutuhan BMD</t>
  </si>
  <si>
    <t>Badan Pengelolaan Keuangan dan Aset Daerah</t>
  </si>
  <si>
    <t>Keuangan</t>
  </si>
  <si>
    <t>Cakupan Pengelolaan Barang Daerah</t>
  </si>
  <si>
    <t>- terverifikasikannya data RKBU, RKPBU, DKBU  - tersusunnya data DKPBU pada 30 SKPD   - tersusunnya data DKBMD dan DKPBMD</t>
  </si>
  <si>
    <t>24 Dokumen</t>
  </si>
  <si>
    <t>8 Dokumen</t>
  </si>
  <si>
    <t xml:space="preserve"> 4 Dokumen</t>
  </si>
</sst>
</file>

<file path=xl/styles.xml><?xml version="1.0" encoding="utf-8"?>
<styleSheet xmlns="http://schemas.openxmlformats.org/spreadsheetml/2006/main">
  <numFmts count="2">
    <numFmt numFmtId="41" formatCode="_(* #,##0_);_(* \(#,##0\);_(* &quot;-&quot;_);_(@_)"/>
    <numFmt numFmtId="43" formatCode="_(* #,##0.00_);_(* \(#,##0.00\);_(* &quot;-&quot;??_);_(@_)"/>
  </numFmts>
  <fonts count="29">
    <font>
      <sz val="11"/>
      <color theme="1"/>
      <name val="Calibri"/>
      <family val="2"/>
      <charset val="1"/>
      <scheme val="minor"/>
    </font>
    <font>
      <sz val="11"/>
      <color theme="1"/>
      <name val="Calibri"/>
      <family val="2"/>
      <scheme val="minor"/>
    </font>
    <font>
      <sz val="11"/>
      <color indexed="8"/>
      <name val="Calibri"/>
      <family val="2"/>
    </font>
    <font>
      <b/>
      <sz val="9"/>
      <color indexed="81"/>
      <name val="Tahoma"/>
      <family val="2"/>
    </font>
    <font>
      <sz val="9"/>
      <color indexed="81"/>
      <name val="Tahoma"/>
      <family val="2"/>
    </font>
    <font>
      <b/>
      <sz val="14"/>
      <color theme="1"/>
      <name val="Arial"/>
      <family val="2"/>
    </font>
    <font>
      <sz val="11"/>
      <color theme="1"/>
      <name val="Arial"/>
      <family val="2"/>
    </font>
    <font>
      <sz val="11"/>
      <name val="Arial"/>
      <family val="2"/>
    </font>
    <font>
      <b/>
      <sz val="11"/>
      <color theme="1"/>
      <name val="Arial"/>
      <family val="2"/>
    </font>
    <font>
      <b/>
      <i/>
      <sz val="11"/>
      <color theme="1"/>
      <name val="Arial"/>
      <family val="2"/>
    </font>
    <font>
      <b/>
      <sz val="11"/>
      <name val="Arial"/>
      <family val="2"/>
    </font>
    <font>
      <b/>
      <sz val="11"/>
      <color indexed="8"/>
      <name val="Arial"/>
      <family val="2"/>
    </font>
    <font>
      <i/>
      <sz val="11"/>
      <color theme="1"/>
      <name val="Arial"/>
      <family val="2"/>
    </font>
    <font>
      <i/>
      <sz val="11"/>
      <name val="Arial"/>
      <family val="2"/>
    </font>
    <font>
      <sz val="10"/>
      <color theme="1"/>
      <name val="Arial"/>
      <family val="2"/>
    </font>
    <font>
      <sz val="11"/>
      <color indexed="8"/>
      <name val="Arial"/>
      <family val="2"/>
    </font>
    <font>
      <sz val="10"/>
      <name val="Arial"/>
      <family val="2"/>
    </font>
    <font>
      <b/>
      <i/>
      <sz val="11"/>
      <name val="Arial"/>
      <family val="2"/>
    </font>
    <font>
      <b/>
      <sz val="12"/>
      <color theme="1"/>
      <name val="Arial"/>
      <family val="2"/>
    </font>
    <font>
      <b/>
      <i/>
      <sz val="12"/>
      <color theme="1"/>
      <name val="Arial"/>
      <family val="2"/>
    </font>
    <font>
      <b/>
      <sz val="12"/>
      <name val="Arial"/>
      <family val="2"/>
    </font>
    <font>
      <sz val="12"/>
      <color theme="1"/>
      <name val="Arial"/>
      <family val="2"/>
    </font>
    <font>
      <sz val="11"/>
      <color theme="1"/>
      <name val="Calibri"/>
      <family val="2"/>
      <charset val="1"/>
      <scheme val="minor"/>
    </font>
    <font>
      <sz val="10"/>
      <color indexed="8"/>
      <name val="Arial"/>
      <family val="2"/>
    </font>
    <font>
      <sz val="11"/>
      <color indexed="8"/>
      <name val="Aril"/>
      <charset val="1"/>
    </font>
    <font>
      <sz val="11"/>
      <color rgb="FF000000"/>
      <name val="Arial"/>
      <family val="2"/>
    </font>
    <font>
      <sz val="11"/>
      <color indexed="8"/>
      <name val="Aril"/>
    </font>
    <font>
      <sz val="12"/>
      <color indexed="8"/>
      <name val="Arial"/>
      <family val="2"/>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indexed="9"/>
        <bgColor indexed="64"/>
      </patternFill>
    </fill>
  </fills>
  <borders count="29">
    <border>
      <left/>
      <right/>
      <top/>
      <bottom/>
      <diagonal/>
    </border>
    <border>
      <left style="medium">
        <color auto="1"/>
      </left>
      <right/>
      <top style="medium">
        <color auto="1"/>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medium">
        <color auto="1"/>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auto="1"/>
      </right>
      <top style="medium">
        <color indexed="64"/>
      </top>
      <bottom style="thin">
        <color indexed="64"/>
      </bottom>
      <diagonal/>
    </border>
    <border>
      <left/>
      <right style="medium">
        <color auto="1"/>
      </right>
      <top style="medium">
        <color auto="1"/>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right style="medium">
        <color auto="1"/>
      </right>
      <top/>
      <bottom style="thin">
        <color indexed="64"/>
      </bottom>
      <diagonal/>
    </border>
    <border>
      <left style="medium">
        <color auto="1"/>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style="medium">
        <color auto="1"/>
      </right>
      <top style="thin">
        <color indexed="64"/>
      </top>
      <bottom/>
      <diagonal/>
    </border>
    <border>
      <left style="medium">
        <color auto="1"/>
      </left>
      <right style="thin">
        <color indexed="64"/>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right/>
      <top/>
      <bottom style="thin">
        <color indexed="64"/>
      </bottom>
      <diagonal/>
    </border>
    <border>
      <left/>
      <right/>
      <top style="thin">
        <color indexed="64"/>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2" fillId="0" borderId="0"/>
    <xf numFmtId="0" fontId="23" fillId="0" borderId="0">
      <alignment vertical="top"/>
    </xf>
    <xf numFmtId="0" fontId="22" fillId="0" borderId="0"/>
    <xf numFmtId="0" fontId="22" fillId="0" borderId="0"/>
    <xf numFmtId="0" fontId="23" fillId="0" borderId="0">
      <alignment vertical="top"/>
    </xf>
    <xf numFmtId="9" fontId="16" fillId="0" borderId="0" applyFont="0" applyFill="0" applyBorder="0" applyAlignment="0" applyProtection="0"/>
  </cellStyleXfs>
  <cellXfs count="478">
    <xf numFmtId="0" fontId="0" fillId="0" borderId="0" xfId="0"/>
    <xf numFmtId="0" fontId="6" fillId="2" borderId="0" xfId="3" applyFont="1" applyFill="1" applyAlignment="1">
      <alignment horizontal="center" vertical="center"/>
    </xf>
    <xf numFmtId="0" fontId="6" fillId="2" borderId="0" xfId="3" applyFont="1" applyFill="1" applyAlignment="1">
      <alignment horizontal="left" vertical="center"/>
    </xf>
    <xf numFmtId="0" fontId="8" fillId="2" borderId="17" xfId="3" applyFont="1" applyFill="1" applyBorder="1" applyAlignment="1">
      <alignment horizontal="center" vertical="center" wrapText="1"/>
    </xf>
    <xf numFmtId="0" fontId="10" fillId="2" borderId="18" xfId="3" applyFont="1" applyFill="1" applyBorder="1" applyAlignment="1">
      <alignment horizontal="center" vertical="center"/>
    </xf>
    <xf numFmtId="0" fontId="6" fillId="2" borderId="19" xfId="3" applyFont="1" applyFill="1" applyBorder="1" applyAlignment="1">
      <alignment horizontal="center" vertical="center"/>
    </xf>
    <xf numFmtId="0" fontId="8" fillId="2" borderId="12" xfId="3" applyFont="1" applyFill="1" applyBorder="1" applyAlignment="1">
      <alignment horizontal="left" vertical="center"/>
    </xf>
    <xf numFmtId="0" fontId="6" fillId="2" borderId="13" xfId="3" applyFont="1" applyFill="1" applyBorder="1" applyAlignment="1">
      <alignment horizontal="left" vertical="center"/>
    </xf>
    <xf numFmtId="0" fontId="7" fillId="2" borderId="21" xfId="3" applyFont="1" applyFill="1" applyBorder="1" applyAlignment="1">
      <alignment horizontal="center" vertical="center"/>
    </xf>
    <xf numFmtId="0" fontId="8" fillId="2" borderId="12" xfId="3" applyFont="1" applyFill="1" applyBorder="1" applyAlignment="1">
      <alignment horizontal="left" vertical="center" wrapText="1"/>
    </xf>
    <xf numFmtId="4" fontId="10" fillId="2" borderId="21" xfId="3" applyNumberFormat="1" applyFont="1" applyFill="1" applyBorder="1" applyAlignment="1">
      <alignment horizontal="center" vertical="center" wrapText="1"/>
    </xf>
    <xf numFmtId="0" fontId="8" fillId="2" borderId="13" xfId="3" applyFont="1" applyFill="1" applyBorder="1" applyAlignment="1">
      <alignment horizontal="center" vertical="top"/>
    </xf>
    <xf numFmtId="0" fontId="8" fillId="2" borderId="12" xfId="3" applyFont="1" applyFill="1" applyBorder="1" applyAlignment="1">
      <alignment horizontal="left" vertical="top" wrapText="1"/>
    </xf>
    <xf numFmtId="9" fontId="10" fillId="2" borderId="21" xfId="3" applyNumberFormat="1" applyFont="1" applyFill="1" applyBorder="1" applyAlignment="1">
      <alignment horizontal="center" vertical="top"/>
    </xf>
    <xf numFmtId="0" fontId="6" fillId="2" borderId="12" xfId="3" quotePrefix="1" applyFont="1" applyFill="1" applyBorder="1" applyAlignment="1">
      <alignment horizontal="center" vertical="top"/>
    </xf>
    <xf numFmtId="0" fontId="6" fillId="2" borderId="12" xfId="3" applyFont="1" applyFill="1" applyBorder="1" applyAlignment="1">
      <alignment horizontal="left" vertical="top"/>
    </xf>
    <xf numFmtId="9" fontId="7" fillId="2" borderId="21" xfId="3" applyNumberFormat="1" applyFont="1" applyFill="1" applyBorder="1" applyAlignment="1">
      <alignment horizontal="center" vertical="top" wrapText="1"/>
    </xf>
    <xf numFmtId="0" fontId="12" fillId="2" borderId="12" xfId="3" quotePrefix="1" applyFont="1" applyFill="1" applyBorder="1" applyAlignment="1">
      <alignment horizontal="center" vertical="top"/>
    </xf>
    <xf numFmtId="0" fontId="12" fillId="2" borderId="13" xfId="3" applyFont="1" applyFill="1" applyBorder="1" applyAlignment="1">
      <alignment horizontal="center" vertical="top"/>
    </xf>
    <xf numFmtId="0" fontId="6" fillId="2" borderId="19" xfId="3" applyFont="1" applyFill="1" applyBorder="1" applyAlignment="1">
      <alignment horizontal="center" vertical="top"/>
    </xf>
    <xf numFmtId="0" fontId="6" fillId="2" borderId="13" xfId="3" applyFont="1" applyFill="1" applyBorder="1" applyAlignment="1">
      <alignment horizontal="center" vertical="top"/>
    </xf>
    <xf numFmtId="0" fontId="7" fillId="2" borderId="13" xfId="3" applyFont="1" applyFill="1" applyBorder="1" applyAlignment="1">
      <alignment horizontal="center" vertical="top"/>
    </xf>
    <xf numFmtId="0" fontId="7" fillId="2" borderId="21" xfId="3" applyFont="1" applyFill="1" applyBorder="1" applyAlignment="1">
      <alignment horizontal="center" vertical="top"/>
    </xf>
    <xf numFmtId="0" fontId="10" fillId="2" borderId="13" xfId="3" applyFont="1" applyFill="1" applyBorder="1" applyAlignment="1">
      <alignment horizontal="center" vertical="top"/>
    </xf>
    <xf numFmtId="0" fontId="10" fillId="2" borderId="12" xfId="3" applyFont="1" applyFill="1" applyBorder="1" applyAlignment="1">
      <alignment horizontal="left" vertical="top" wrapText="1"/>
    </xf>
    <xf numFmtId="0" fontId="6" fillId="2" borderId="13" xfId="3" quotePrefix="1" applyFont="1" applyFill="1" applyBorder="1" applyAlignment="1">
      <alignment horizontal="center" vertical="top"/>
    </xf>
    <xf numFmtId="9" fontId="8" fillId="2" borderId="21" xfId="3" applyNumberFormat="1" applyFont="1" applyFill="1" applyBorder="1" applyAlignment="1">
      <alignment horizontal="center" vertical="top"/>
    </xf>
    <xf numFmtId="0" fontId="6" fillId="2" borderId="12" xfId="3" applyFont="1" applyFill="1" applyBorder="1" applyAlignment="1">
      <alignment horizontal="center" vertical="top"/>
    </xf>
    <xf numFmtId="9" fontId="6" fillId="2" borderId="21" xfId="2" applyFont="1" applyFill="1" applyBorder="1" applyAlignment="1">
      <alignment horizontal="center" vertical="top" wrapText="1"/>
    </xf>
    <xf numFmtId="9" fontId="13" fillId="2" borderId="21" xfId="3" applyNumberFormat="1" applyFont="1" applyFill="1" applyBorder="1" applyAlignment="1">
      <alignment horizontal="center" vertical="top" wrapText="1"/>
    </xf>
    <xf numFmtId="16" fontId="6" fillId="2" borderId="0" xfId="3" applyNumberFormat="1" applyFont="1" applyFill="1" applyAlignment="1">
      <alignment horizontal="center" vertical="center"/>
    </xf>
    <xf numFmtId="0" fontId="13" fillId="2" borderId="12" xfId="3" applyFont="1" applyFill="1" applyBorder="1" applyAlignment="1">
      <alignment horizontal="center" vertical="top" wrapText="1"/>
    </xf>
    <xf numFmtId="4" fontId="13" fillId="2" borderId="21" xfId="3" applyNumberFormat="1" applyFont="1" applyFill="1" applyBorder="1" applyAlignment="1">
      <alignment horizontal="center" vertical="top"/>
    </xf>
    <xf numFmtId="10" fontId="8" fillId="2" borderId="21" xfId="3" applyNumberFormat="1" applyFont="1" applyFill="1" applyBorder="1" applyAlignment="1">
      <alignment horizontal="center" vertical="top"/>
    </xf>
    <xf numFmtId="10" fontId="10" fillId="2" borderId="21" xfId="2" applyNumberFormat="1" applyFont="1" applyFill="1" applyBorder="1" applyAlignment="1">
      <alignment horizontal="center" vertical="top"/>
    </xf>
    <xf numFmtId="4" fontId="7" fillId="2" borderId="21" xfId="3" applyNumberFormat="1" applyFont="1" applyFill="1" applyBorder="1" applyAlignment="1">
      <alignment horizontal="center" vertical="top"/>
    </xf>
    <xf numFmtId="0" fontId="13" fillId="2" borderId="13" xfId="3" quotePrefix="1" applyFont="1" applyFill="1" applyBorder="1" applyAlignment="1">
      <alignment horizontal="center" vertical="top"/>
    </xf>
    <xf numFmtId="0" fontId="13" fillId="2" borderId="12" xfId="3" applyFont="1" applyFill="1" applyBorder="1" applyAlignment="1">
      <alignment vertical="top" wrapText="1"/>
    </xf>
    <xf numFmtId="0" fontId="12" fillId="2" borderId="12" xfId="3" applyFont="1" applyFill="1" applyBorder="1" applyAlignment="1">
      <alignment horizontal="center" vertical="top"/>
    </xf>
    <xf numFmtId="43" fontId="13" fillId="2" borderId="21" xfId="1" applyFont="1" applyFill="1" applyBorder="1" applyAlignment="1">
      <alignment horizontal="center" vertical="top"/>
    </xf>
    <xf numFmtId="4" fontId="7" fillId="2" borderId="0" xfId="3" applyNumberFormat="1" applyFont="1" applyFill="1" applyBorder="1" applyAlignment="1">
      <alignment vertical="center"/>
    </xf>
    <xf numFmtId="0" fontId="7" fillId="2" borderId="0" xfId="3" applyFont="1" applyFill="1" applyBorder="1" applyAlignment="1">
      <alignment horizontal="center" vertical="center" wrapText="1"/>
    </xf>
    <xf numFmtId="4" fontId="6" fillId="2" borderId="0" xfId="3" applyNumberFormat="1" applyFont="1" applyFill="1" applyBorder="1" applyAlignment="1">
      <alignment horizontal="center" vertical="center"/>
    </xf>
    <xf numFmtId="4" fontId="6" fillId="2" borderId="0" xfId="3" applyNumberFormat="1" applyFont="1" applyFill="1" applyBorder="1" applyAlignment="1">
      <alignment vertical="center"/>
    </xf>
    <xf numFmtId="4" fontId="7" fillId="2" borderId="0" xfId="3" applyNumberFormat="1" applyFont="1" applyFill="1" applyBorder="1" applyAlignment="1">
      <alignment vertical="center" wrapText="1"/>
    </xf>
    <xf numFmtId="2" fontId="7" fillId="2" borderId="0" xfId="3" applyNumberFormat="1" applyFont="1" applyFill="1" applyBorder="1" applyAlignment="1">
      <alignment horizontal="center" vertical="center" wrapText="1"/>
    </xf>
    <xf numFmtId="4" fontId="7" fillId="2" borderId="0" xfId="3" applyNumberFormat="1" applyFont="1" applyFill="1" applyBorder="1" applyAlignment="1">
      <alignment horizontal="center" vertical="center"/>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7" fillId="2" borderId="0" xfId="3" applyFont="1" applyFill="1" applyAlignment="1">
      <alignment vertical="center"/>
    </xf>
    <xf numFmtId="10" fontId="13" fillId="2" borderId="21" xfId="2" applyNumberFormat="1" applyFont="1" applyFill="1" applyBorder="1" applyAlignment="1">
      <alignment horizontal="center" vertical="top"/>
    </xf>
    <xf numFmtId="9" fontId="11" fillId="2" borderId="18" xfId="4" applyNumberFormat="1" applyFont="1" applyFill="1" applyBorder="1" applyAlignment="1">
      <alignment horizontal="center" vertical="top" wrapText="1"/>
    </xf>
    <xf numFmtId="9" fontId="11" fillId="2" borderId="23" xfId="4" applyNumberFormat="1" applyFont="1" applyFill="1" applyBorder="1" applyAlignment="1">
      <alignment horizontal="center" vertical="top" wrapText="1"/>
    </xf>
    <xf numFmtId="9" fontId="6" fillId="2" borderId="18" xfId="2" applyFont="1" applyFill="1" applyBorder="1" applyAlignment="1">
      <alignment horizontal="center" vertical="top" wrapText="1"/>
    </xf>
    <xf numFmtId="9" fontId="6" fillId="2" borderId="23" xfId="2" applyFont="1" applyFill="1" applyBorder="1" applyAlignment="1">
      <alignment horizontal="center" vertical="top" wrapText="1"/>
    </xf>
    <xf numFmtId="9" fontId="12" fillId="2" borderId="21" xfId="2" applyFont="1" applyFill="1" applyBorder="1" applyAlignment="1">
      <alignment horizontal="center" vertical="top" wrapText="1"/>
    </xf>
    <xf numFmtId="9" fontId="13" fillId="2" borderId="21" xfId="2" applyFont="1" applyFill="1" applyBorder="1" applyAlignment="1">
      <alignment horizontal="center" vertical="top"/>
    </xf>
    <xf numFmtId="0" fontId="13" fillId="2" borderId="21" xfId="3" quotePrefix="1" applyFont="1" applyFill="1" applyBorder="1" applyAlignment="1">
      <alignment horizontal="center" vertical="top"/>
    </xf>
    <xf numFmtId="10" fontId="10" fillId="2" borderId="21" xfId="2" applyNumberFormat="1" applyFont="1" applyFill="1" applyBorder="1" applyAlignment="1">
      <alignment horizontal="center" vertical="top" wrapText="1"/>
    </xf>
    <xf numFmtId="0" fontId="8" fillId="2" borderId="19" xfId="3" applyFont="1" applyFill="1" applyBorder="1" applyAlignment="1">
      <alignment horizontal="center" vertical="top"/>
    </xf>
    <xf numFmtId="0" fontId="8" fillId="2" borderId="12" xfId="3" applyFont="1" applyFill="1" applyBorder="1" applyAlignment="1">
      <alignment horizontal="center" vertical="top"/>
    </xf>
    <xf numFmtId="9" fontId="16" fillId="2" borderId="21" xfId="2" applyFont="1" applyFill="1" applyBorder="1" applyAlignment="1">
      <alignment horizontal="left" vertical="top" wrapText="1"/>
    </xf>
    <xf numFmtId="9" fontId="7" fillId="2" borderId="21" xfId="2" applyFont="1" applyFill="1" applyBorder="1" applyAlignment="1">
      <alignment horizontal="center" vertical="top" wrapText="1"/>
    </xf>
    <xf numFmtId="0" fontId="6" fillId="2" borderId="16" xfId="3" applyFont="1" applyFill="1" applyBorder="1" applyAlignment="1">
      <alignment horizontal="center" vertical="top"/>
    </xf>
    <xf numFmtId="0" fontId="7" fillId="2" borderId="18" xfId="3" applyFont="1" applyFill="1" applyBorder="1" applyAlignment="1">
      <alignment horizontal="center" vertical="top"/>
    </xf>
    <xf numFmtId="0" fontId="8" fillId="2" borderId="10" xfId="3" applyFont="1" applyFill="1" applyBorder="1" applyAlignment="1">
      <alignment horizontal="center" vertical="top" wrapText="1"/>
    </xf>
    <xf numFmtId="0" fontId="13" fillId="2" borderId="21" xfId="3" applyFont="1" applyFill="1" applyBorder="1" applyAlignment="1">
      <alignment horizontal="center" vertical="top" wrapText="1"/>
    </xf>
    <xf numFmtId="9" fontId="8" fillId="2" borderId="18" xfId="3" applyNumberFormat="1" applyFont="1" applyFill="1" applyBorder="1" applyAlignment="1">
      <alignment horizontal="center" vertical="top"/>
    </xf>
    <xf numFmtId="9" fontId="8" fillId="2" borderId="23" xfId="3" applyNumberFormat="1" applyFont="1" applyFill="1" applyBorder="1" applyAlignment="1">
      <alignment horizontal="center" vertical="top"/>
    </xf>
    <xf numFmtId="10" fontId="10" fillId="2" borderId="23" xfId="3" applyNumberFormat="1" applyFont="1" applyFill="1" applyBorder="1" applyAlignment="1">
      <alignment horizontal="center" vertical="top"/>
    </xf>
    <xf numFmtId="0" fontId="7" fillId="2" borderId="23" xfId="3" applyFont="1" applyFill="1" applyBorder="1" applyAlignment="1">
      <alignment horizontal="center" vertical="top"/>
    </xf>
    <xf numFmtId="0" fontId="7" fillId="2" borderId="14" xfId="3" applyFont="1" applyFill="1" applyBorder="1" applyAlignment="1">
      <alignment horizontal="center" vertical="top"/>
    </xf>
    <xf numFmtId="0" fontId="6" fillId="2" borderId="12" xfId="3" applyFont="1" applyFill="1" applyBorder="1" applyAlignment="1">
      <alignment vertical="top" wrapText="1"/>
    </xf>
    <xf numFmtId="0" fontId="14" fillId="2" borderId="24" xfId="3" applyFont="1" applyFill="1" applyBorder="1" applyAlignment="1">
      <alignment horizontal="left" vertical="top" wrapText="1"/>
    </xf>
    <xf numFmtId="0" fontId="21" fillId="2" borderId="0" xfId="3" applyFont="1" applyFill="1" applyAlignment="1">
      <alignment horizontal="center" vertical="center"/>
    </xf>
    <xf numFmtId="0" fontId="6" fillId="2" borderId="12" xfId="3" quotePrefix="1" applyFont="1" applyFill="1" applyBorder="1" applyAlignment="1">
      <alignment horizontal="center" vertical="top" wrapText="1"/>
    </xf>
    <xf numFmtId="0" fontId="8" fillId="2" borderId="12" xfId="3" applyFont="1" applyFill="1" applyBorder="1" applyAlignment="1">
      <alignment horizontal="left" vertical="top" wrapText="1"/>
    </xf>
    <xf numFmtId="0" fontId="6" fillId="2" borderId="12" xfId="3" applyFont="1" applyFill="1" applyBorder="1" applyAlignment="1">
      <alignment horizontal="left" vertical="top" wrapText="1"/>
    </xf>
    <xf numFmtId="0" fontId="8" fillId="2" borderId="13" xfId="3" quotePrefix="1" applyFont="1" applyFill="1" applyBorder="1" applyAlignment="1">
      <alignment horizontal="center" vertical="top"/>
    </xf>
    <xf numFmtId="0" fontId="10" fillId="2" borderId="13" xfId="3" quotePrefix="1" applyFont="1" applyFill="1" applyBorder="1" applyAlignment="1">
      <alignment horizontal="center" vertical="top"/>
    </xf>
    <xf numFmtId="0" fontId="7" fillId="2" borderId="13" xfId="3" quotePrefix="1" applyFont="1" applyFill="1" applyBorder="1" applyAlignment="1">
      <alignment horizontal="center" vertical="top"/>
    </xf>
    <xf numFmtId="0" fontId="6" fillId="2" borderId="12" xfId="3" applyFont="1" applyFill="1" applyBorder="1" applyAlignment="1">
      <alignment horizontal="center" vertical="center"/>
    </xf>
    <xf numFmtId="0" fontId="8" fillId="2" borderId="19" xfId="3" applyFont="1" applyFill="1" applyBorder="1" applyAlignment="1">
      <alignment horizontal="center" vertical="center"/>
    </xf>
    <xf numFmtId="3" fontId="8" fillId="2" borderId="13" xfId="3" quotePrefix="1" applyNumberFormat="1" applyFont="1" applyFill="1" applyBorder="1" applyAlignment="1">
      <alignment horizontal="center" vertical="top"/>
    </xf>
    <xf numFmtId="9" fontId="11" fillId="2" borderId="12" xfId="5" applyNumberFormat="1" applyFont="1" applyFill="1" applyBorder="1" applyAlignment="1">
      <alignment horizontal="left" vertical="top" wrapText="1"/>
    </xf>
    <xf numFmtId="0" fontId="15" fillId="0" borderId="12" xfId="5" applyFont="1" applyBorder="1" applyAlignment="1">
      <alignment horizontal="left" vertical="top" wrapText="1"/>
    </xf>
    <xf numFmtId="0" fontId="15" fillId="2" borderId="12" xfId="6" applyFont="1" applyFill="1" applyBorder="1" applyAlignment="1">
      <alignment horizontal="left" vertical="top" wrapText="1"/>
    </xf>
    <xf numFmtId="0" fontId="15" fillId="0" borderId="12" xfId="6" applyFont="1" applyFill="1" applyBorder="1" applyAlignment="1">
      <alignment horizontal="left" vertical="top" wrapText="1"/>
    </xf>
    <xf numFmtId="0" fontId="8" fillId="3" borderId="17" xfId="3" applyFont="1" applyFill="1" applyBorder="1" applyAlignment="1">
      <alignment horizontal="center" vertical="center"/>
    </xf>
    <xf numFmtId="0" fontId="6" fillId="3" borderId="13" xfId="3" applyFont="1" applyFill="1" applyBorder="1" applyAlignment="1">
      <alignment horizontal="center" vertical="center"/>
    </xf>
    <xf numFmtId="9" fontId="8" fillId="3" borderId="13" xfId="3" applyNumberFormat="1" applyFont="1" applyFill="1" applyBorder="1" applyAlignment="1">
      <alignment horizontal="center" vertical="top"/>
    </xf>
    <xf numFmtId="9" fontId="6" fillId="3" borderId="13" xfId="3" applyNumberFormat="1" applyFont="1" applyFill="1" applyBorder="1" applyAlignment="1">
      <alignment horizontal="center" vertical="top"/>
    </xf>
    <xf numFmtId="9" fontId="10" fillId="3" borderId="13" xfId="3" applyNumberFormat="1" applyFont="1" applyFill="1" applyBorder="1" applyAlignment="1">
      <alignment horizontal="center" vertical="top"/>
    </xf>
    <xf numFmtId="0" fontId="10" fillId="3" borderId="13" xfId="3" applyFont="1" applyFill="1" applyBorder="1" applyAlignment="1">
      <alignment horizontal="center" vertical="top" wrapText="1"/>
    </xf>
    <xf numFmtId="0" fontId="7" fillId="3" borderId="12" xfId="3" applyFont="1" applyFill="1" applyBorder="1" applyAlignment="1">
      <alignment horizontal="center" vertical="top"/>
    </xf>
    <xf numFmtId="9" fontId="11" fillId="3" borderId="12" xfId="4" applyNumberFormat="1" applyFont="1" applyFill="1" applyBorder="1" applyAlignment="1">
      <alignment horizontal="center" vertical="top" wrapText="1"/>
    </xf>
    <xf numFmtId="0" fontId="6" fillId="3" borderId="0" xfId="3" applyFont="1" applyFill="1" applyAlignment="1">
      <alignment horizontal="center" vertical="center"/>
    </xf>
    <xf numFmtId="0" fontId="8" fillId="4" borderId="17" xfId="3" applyFont="1" applyFill="1" applyBorder="1" applyAlignment="1">
      <alignment horizontal="center" vertical="center"/>
    </xf>
    <xf numFmtId="0" fontId="6" fillId="4" borderId="13" xfId="3" applyFont="1" applyFill="1" applyBorder="1" applyAlignment="1">
      <alignment horizontal="center" vertical="center"/>
    </xf>
    <xf numFmtId="4" fontId="6" fillId="4" borderId="13" xfId="3" applyNumberFormat="1" applyFont="1" applyFill="1" applyBorder="1" applyAlignment="1">
      <alignment horizontal="center" vertical="center"/>
    </xf>
    <xf numFmtId="9" fontId="8" fillId="4" borderId="13" xfId="3" applyNumberFormat="1" applyFont="1" applyFill="1" applyBorder="1" applyAlignment="1">
      <alignment horizontal="center" vertical="top"/>
    </xf>
    <xf numFmtId="9" fontId="6" fillId="4" borderId="12" xfId="3" applyNumberFormat="1" applyFont="1" applyFill="1" applyBorder="1" applyAlignment="1">
      <alignment horizontal="center" vertical="top" wrapText="1"/>
    </xf>
    <xf numFmtId="0" fontId="6" fillId="4" borderId="13" xfId="3" applyFont="1" applyFill="1" applyBorder="1" applyAlignment="1">
      <alignment horizontal="center" vertical="top"/>
    </xf>
    <xf numFmtId="0" fontId="8" fillId="4" borderId="12" xfId="3" applyFont="1" applyFill="1" applyBorder="1" applyAlignment="1">
      <alignment horizontal="center" vertical="top"/>
    </xf>
    <xf numFmtId="0" fontId="6" fillId="4" borderId="0" xfId="3" applyFont="1" applyFill="1" applyAlignment="1">
      <alignment horizontal="center" vertical="center"/>
    </xf>
    <xf numFmtId="43" fontId="20" fillId="5" borderId="12" xfId="1" applyFont="1" applyFill="1" applyBorder="1" applyAlignment="1">
      <alignment horizontal="center" vertical="center" wrapText="1"/>
    </xf>
    <xf numFmtId="43" fontId="10" fillId="5" borderId="17" xfId="1" quotePrefix="1" applyFont="1" applyFill="1" applyBorder="1" applyAlignment="1">
      <alignment horizontal="center" vertical="center"/>
    </xf>
    <xf numFmtId="0" fontId="7" fillId="5" borderId="13" xfId="3" applyFont="1" applyFill="1" applyBorder="1" applyAlignment="1">
      <alignment horizontal="center" vertical="center"/>
    </xf>
    <xf numFmtId="0" fontId="7" fillId="5" borderId="12" xfId="3" applyFont="1" applyFill="1" applyBorder="1" applyAlignment="1">
      <alignment horizontal="center" vertical="center"/>
    </xf>
    <xf numFmtId="4" fontId="10" fillId="5" borderId="12" xfId="3" applyNumberFormat="1" applyFont="1" applyFill="1" applyBorder="1" applyAlignment="1">
      <alignment horizontal="center" vertical="center"/>
    </xf>
    <xf numFmtId="4" fontId="7" fillId="5" borderId="12" xfId="3" applyNumberFormat="1" applyFont="1" applyFill="1" applyBorder="1" applyAlignment="1">
      <alignment horizontal="center" vertical="center"/>
    </xf>
    <xf numFmtId="9" fontId="10" fillId="5" borderId="13" xfId="3" applyNumberFormat="1" applyFont="1" applyFill="1" applyBorder="1" applyAlignment="1">
      <alignment horizontal="center" vertical="top"/>
    </xf>
    <xf numFmtId="9" fontId="7" fillId="5" borderId="12" xfId="3" applyNumberFormat="1" applyFont="1" applyFill="1" applyBorder="1" applyAlignment="1">
      <alignment horizontal="center" vertical="top" wrapText="1"/>
    </xf>
    <xf numFmtId="9" fontId="13" fillId="5" borderId="12" xfId="3" applyNumberFormat="1" applyFont="1" applyFill="1" applyBorder="1" applyAlignment="1">
      <alignment horizontal="center" vertical="top"/>
    </xf>
    <xf numFmtId="4" fontId="7" fillId="5" borderId="12" xfId="3" applyNumberFormat="1" applyFont="1" applyFill="1" applyBorder="1" applyAlignment="1">
      <alignment horizontal="center" vertical="top"/>
    </xf>
    <xf numFmtId="9" fontId="7" fillId="5" borderId="13" xfId="3" applyNumberFormat="1" applyFont="1" applyFill="1" applyBorder="1" applyAlignment="1">
      <alignment horizontal="center" vertical="top"/>
    </xf>
    <xf numFmtId="0" fontId="10" fillId="5" borderId="12" xfId="3" applyFont="1" applyFill="1" applyBorder="1" applyAlignment="1">
      <alignment horizontal="center" vertical="top"/>
    </xf>
    <xf numFmtId="0" fontId="8" fillId="5" borderId="12" xfId="3" applyFont="1" applyFill="1" applyBorder="1" applyAlignment="1">
      <alignment horizontal="center" vertical="top"/>
    </xf>
    <xf numFmtId="0" fontId="7" fillId="5" borderId="0" xfId="3" applyFont="1" applyFill="1" applyAlignment="1">
      <alignment horizontal="center" vertical="center"/>
    </xf>
    <xf numFmtId="0" fontId="18" fillId="5" borderId="13" xfId="3" applyFont="1" applyFill="1" applyBorder="1" applyAlignment="1">
      <alignment horizontal="center" vertical="center" wrapText="1"/>
    </xf>
    <xf numFmtId="0" fontId="8" fillId="5" borderId="17" xfId="3" quotePrefix="1" applyFont="1" applyFill="1" applyBorder="1" applyAlignment="1">
      <alignment horizontal="center" vertical="center"/>
    </xf>
    <xf numFmtId="0" fontId="8" fillId="5" borderId="17" xfId="3" applyFont="1" applyFill="1" applyBorder="1" applyAlignment="1">
      <alignment horizontal="center" vertical="center"/>
    </xf>
    <xf numFmtId="0" fontId="6" fillId="5" borderId="13" xfId="3" applyFont="1" applyFill="1" applyBorder="1" applyAlignment="1">
      <alignment horizontal="center" vertical="center"/>
    </xf>
    <xf numFmtId="10" fontId="8" fillId="5" borderId="12" xfId="3" applyNumberFormat="1" applyFont="1" applyFill="1" applyBorder="1" applyAlignment="1">
      <alignment horizontal="center" vertical="center" wrapText="1"/>
    </xf>
    <xf numFmtId="10" fontId="8" fillId="5" borderId="13" xfId="3" applyNumberFormat="1" applyFont="1" applyFill="1" applyBorder="1" applyAlignment="1">
      <alignment horizontal="center" vertical="center" wrapText="1"/>
    </xf>
    <xf numFmtId="9" fontId="8" fillId="5" borderId="13" xfId="3" applyNumberFormat="1" applyFont="1" applyFill="1" applyBorder="1" applyAlignment="1">
      <alignment horizontal="center" vertical="top"/>
    </xf>
    <xf numFmtId="9" fontId="6" fillId="5" borderId="12" xfId="3" applyNumberFormat="1" applyFont="1" applyFill="1" applyBorder="1" applyAlignment="1">
      <alignment horizontal="center" vertical="top" wrapText="1"/>
    </xf>
    <xf numFmtId="0" fontId="6" fillId="5" borderId="13" xfId="3" applyFont="1" applyFill="1" applyBorder="1" applyAlignment="1">
      <alignment horizontal="center" vertical="top"/>
    </xf>
    <xf numFmtId="9" fontId="6" fillId="5" borderId="12" xfId="2" applyFont="1" applyFill="1" applyBorder="1" applyAlignment="1">
      <alignment horizontal="center" vertical="top" wrapText="1"/>
    </xf>
    <xf numFmtId="9" fontId="10" fillId="5" borderId="12" xfId="3" applyNumberFormat="1" applyFont="1" applyFill="1" applyBorder="1" applyAlignment="1">
      <alignment horizontal="center" vertical="top"/>
    </xf>
    <xf numFmtId="9" fontId="6" fillId="5" borderId="13" xfId="2" applyFont="1" applyFill="1" applyBorder="1" applyAlignment="1">
      <alignment horizontal="center" vertical="top" wrapText="1"/>
    </xf>
    <xf numFmtId="9" fontId="6" fillId="5" borderId="12" xfId="3" applyNumberFormat="1" applyFont="1" applyFill="1" applyBorder="1" applyAlignment="1">
      <alignment horizontal="center" vertical="top"/>
    </xf>
    <xf numFmtId="0" fontId="6" fillId="5" borderId="0" xfId="3" applyFont="1" applyFill="1" applyAlignment="1">
      <alignment horizontal="center" vertical="center"/>
    </xf>
    <xf numFmtId="0" fontId="20" fillId="3" borderId="10" xfId="3" applyFont="1" applyFill="1" applyBorder="1" applyAlignment="1">
      <alignment horizontal="center" vertical="center" wrapText="1"/>
    </xf>
    <xf numFmtId="0" fontId="10" fillId="3" borderId="17" xfId="3" applyFont="1" applyFill="1" applyBorder="1" applyAlignment="1">
      <alignment horizontal="center" vertical="center"/>
    </xf>
    <xf numFmtId="0" fontId="7" fillId="3" borderId="12" xfId="3" applyFont="1" applyFill="1" applyBorder="1" applyAlignment="1">
      <alignment horizontal="center" vertical="center"/>
    </xf>
    <xf numFmtId="0" fontId="7" fillId="3" borderId="13" xfId="3" applyFont="1" applyFill="1" applyBorder="1" applyAlignment="1">
      <alignment horizontal="center" vertical="center"/>
    </xf>
    <xf numFmtId="4" fontId="7" fillId="3" borderId="12" xfId="3" applyNumberFormat="1" applyFont="1" applyFill="1" applyBorder="1" applyAlignment="1">
      <alignment horizontal="center" vertical="center"/>
    </xf>
    <xf numFmtId="4" fontId="10" fillId="3" borderId="13" xfId="3" applyNumberFormat="1" applyFont="1" applyFill="1" applyBorder="1" applyAlignment="1">
      <alignment horizontal="center" vertical="center" wrapText="1"/>
    </xf>
    <xf numFmtId="9" fontId="10" fillId="3" borderId="12" xfId="3" applyNumberFormat="1" applyFont="1" applyFill="1" applyBorder="1" applyAlignment="1">
      <alignment horizontal="center" vertical="top"/>
    </xf>
    <xf numFmtId="9" fontId="7" fillId="3" borderId="12" xfId="3" applyNumberFormat="1" applyFont="1" applyFill="1" applyBorder="1" applyAlignment="1">
      <alignment horizontal="center" vertical="top" wrapText="1"/>
    </xf>
    <xf numFmtId="0" fontId="7" fillId="3" borderId="13" xfId="3" applyFont="1" applyFill="1" applyBorder="1" applyAlignment="1">
      <alignment horizontal="center" vertical="top"/>
    </xf>
    <xf numFmtId="9" fontId="6" fillId="3" borderId="12" xfId="2" applyFont="1" applyFill="1" applyBorder="1" applyAlignment="1">
      <alignment horizontal="center" vertical="top" wrapText="1"/>
    </xf>
    <xf numFmtId="0" fontId="13" fillId="3" borderId="12" xfId="3" applyFont="1" applyFill="1" applyBorder="1" applyAlignment="1">
      <alignment horizontal="center" vertical="top"/>
    </xf>
    <xf numFmtId="0" fontId="10" fillId="3" borderId="12" xfId="3" applyFont="1" applyFill="1" applyBorder="1" applyAlignment="1">
      <alignment horizontal="center" vertical="top"/>
    </xf>
    <xf numFmtId="0" fontId="7" fillId="3" borderId="0" xfId="3" applyFont="1" applyFill="1" applyAlignment="1">
      <alignment horizontal="center" vertical="center"/>
    </xf>
    <xf numFmtId="41" fontId="15" fillId="3" borderId="12" xfId="5" applyNumberFormat="1" applyFont="1" applyFill="1" applyBorder="1" applyAlignment="1">
      <alignment horizontal="center" vertical="top" wrapText="1"/>
    </xf>
    <xf numFmtId="0" fontId="15" fillId="4" borderId="12" xfId="5" applyFont="1" applyFill="1" applyBorder="1" applyAlignment="1">
      <alignment horizontal="center" vertical="top" wrapText="1"/>
    </xf>
    <xf numFmtId="0" fontId="15" fillId="5" borderId="12" xfId="5" applyFont="1" applyFill="1" applyBorder="1" applyAlignment="1">
      <alignment horizontal="center" vertical="top" wrapText="1"/>
    </xf>
    <xf numFmtId="3" fontId="6" fillId="2" borderId="13" xfId="3" quotePrefix="1" applyNumberFormat="1" applyFont="1" applyFill="1" applyBorder="1" applyAlignment="1">
      <alignment horizontal="center" vertical="top"/>
    </xf>
    <xf numFmtId="0" fontId="15" fillId="0" borderId="12" xfId="6" applyFont="1" applyFill="1" applyBorder="1" applyAlignment="1">
      <alignment vertical="top" wrapText="1"/>
    </xf>
    <xf numFmtId="9" fontId="7" fillId="3" borderId="13" xfId="3" applyNumberFormat="1" applyFont="1" applyFill="1" applyBorder="1" applyAlignment="1">
      <alignment horizontal="center" vertical="top"/>
    </xf>
    <xf numFmtId="9" fontId="7" fillId="3" borderId="12" xfId="3" applyNumberFormat="1" applyFont="1" applyFill="1" applyBorder="1" applyAlignment="1">
      <alignment horizontal="center" vertical="top"/>
    </xf>
    <xf numFmtId="9" fontId="6" fillId="4" borderId="13" xfId="3" applyNumberFormat="1" applyFont="1" applyFill="1" applyBorder="1" applyAlignment="1">
      <alignment horizontal="center" vertical="top"/>
    </xf>
    <xf numFmtId="9" fontId="6" fillId="5" borderId="13" xfId="3" applyNumberFormat="1" applyFont="1" applyFill="1" applyBorder="1" applyAlignment="1">
      <alignment horizontal="center" vertical="top"/>
    </xf>
    <xf numFmtId="9" fontId="6" fillId="3" borderId="12" xfId="3" applyNumberFormat="1" applyFont="1" applyFill="1" applyBorder="1" applyAlignment="1">
      <alignment horizontal="center" vertical="top"/>
    </xf>
    <xf numFmtId="0" fontId="15" fillId="4" borderId="12" xfId="5" quotePrefix="1" applyFont="1" applyFill="1" applyBorder="1" applyAlignment="1">
      <alignment horizontal="center" vertical="top" wrapText="1"/>
    </xf>
    <xf numFmtId="41" fontId="11" fillId="3" borderId="12" xfId="5" applyNumberFormat="1" applyFont="1" applyFill="1" applyBorder="1" applyAlignment="1">
      <alignment horizontal="center" vertical="top" wrapText="1"/>
    </xf>
    <xf numFmtId="0" fontId="11" fillId="5" borderId="12" xfId="5" applyFont="1" applyFill="1" applyBorder="1" applyAlignment="1">
      <alignment horizontal="center" vertical="top" wrapText="1"/>
    </xf>
    <xf numFmtId="10" fontId="6" fillId="5" borderId="13" xfId="3" applyNumberFormat="1" applyFont="1" applyFill="1" applyBorder="1" applyAlignment="1">
      <alignment horizontal="center" vertical="top"/>
    </xf>
    <xf numFmtId="9" fontId="10" fillId="3" borderId="12" xfId="2" applyNumberFormat="1" applyFont="1" applyFill="1" applyBorder="1" applyAlignment="1">
      <alignment horizontal="center" vertical="top"/>
    </xf>
    <xf numFmtId="0" fontId="11" fillId="4" borderId="12" xfId="5" applyFont="1" applyFill="1" applyBorder="1" applyAlignment="1">
      <alignment horizontal="center" vertical="top" wrapText="1"/>
    </xf>
    <xf numFmtId="9" fontId="7" fillId="5" borderId="12" xfId="2" applyNumberFormat="1" applyFont="1" applyFill="1" applyBorder="1" applyAlignment="1">
      <alignment horizontal="center" vertical="top" wrapText="1"/>
    </xf>
    <xf numFmtId="9" fontId="7" fillId="3" borderId="12" xfId="2" applyNumberFormat="1" applyFont="1" applyFill="1" applyBorder="1" applyAlignment="1">
      <alignment horizontal="center" vertical="top"/>
    </xf>
    <xf numFmtId="0" fontId="15" fillId="5" borderId="12" xfId="5" quotePrefix="1" applyFont="1" applyFill="1" applyBorder="1" applyAlignment="1">
      <alignment horizontal="center" vertical="top" wrapText="1"/>
    </xf>
    <xf numFmtId="0" fontId="15" fillId="2" borderId="12" xfId="5" applyFont="1" applyFill="1" applyBorder="1" applyAlignment="1">
      <alignment horizontal="left" vertical="top" wrapText="1"/>
    </xf>
    <xf numFmtId="9" fontId="7" fillId="3" borderId="12" xfId="1" applyNumberFormat="1" applyFont="1" applyFill="1" applyBorder="1" applyAlignment="1">
      <alignment horizontal="center" vertical="top"/>
    </xf>
    <xf numFmtId="0" fontId="10" fillId="2" borderId="12" xfId="3" applyFont="1" applyFill="1" applyBorder="1" applyAlignment="1">
      <alignment vertical="top" wrapText="1"/>
    </xf>
    <xf numFmtId="9" fontId="7" fillId="5" borderId="12" xfId="3" applyNumberFormat="1" applyFont="1" applyFill="1" applyBorder="1" applyAlignment="1">
      <alignment horizontal="center" vertical="top"/>
    </xf>
    <xf numFmtId="0" fontId="15" fillId="6" borderId="12" xfId="6" applyFont="1" applyFill="1" applyBorder="1" applyAlignment="1">
      <alignment horizontal="left" vertical="top" wrapText="1"/>
    </xf>
    <xf numFmtId="0" fontId="9" fillId="2" borderId="13" xfId="3" quotePrefix="1" applyFont="1" applyFill="1" applyBorder="1" applyAlignment="1">
      <alignment horizontal="center" vertical="top"/>
    </xf>
    <xf numFmtId="0" fontId="17" fillId="2" borderId="13" xfId="3" quotePrefix="1" applyFont="1" applyFill="1" applyBorder="1" applyAlignment="1">
      <alignment horizontal="center" vertical="top"/>
    </xf>
    <xf numFmtId="9" fontId="8" fillId="3" borderId="13" xfId="3" applyNumberFormat="1" applyFont="1" applyFill="1" applyBorder="1" applyAlignment="1">
      <alignment horizontal="center" vertical="top" wrapText="1"/>
    </xf>
    <xf numFmtId="9" fontId="8" fillId="4" borderId="12" xfId="3" applyNumberFormat="1" applyFont="1" applyFill="1" applyBorder="1" applyAlignment="1">
      <alignment horizontal="center" vertical="top"/>
    </xf>
    <xf numFmtId="0" fontId="11" fillId="2" borderId="12" xfId="6" applyFont="1" applyFill="1" applyBorder="1" applyAlignment="1">
      <alignment horizontal="left" vertical="top" wrapText="1"/>
    </xf>
    <xf numFmtId="10" fontId="17" fillId="2" borderId="21" xfId="2" applyNumberFormat="1" applyFont="1" applyFill="1" applyBorder="1" applyAlignment="1">
      <alignment horizontal="center" vertical="top"/>
    </xf>
    <xf numFmtId="0" fontId="8" fillId="2" borderId="0" xfId="3" applyFont="1" applyFill="1" applyAlignment="1">
      <alignment horizontal="center" vertical="center"/>
    </xf>
    <xf numFmtId="9" fontId="13" fillId="3" borderId="12" xfId="2" applyNumberFormat="1" applyFont="1" applyFill="1" applyBorder="1" applyAlignment="1">
      <alignment horizontal="center" vertical="top"/>
    </xf>
    <xf numFmtId="0" fontId="10" fillId="4" borderId="20" xfId="3" applyFont="1" applyFill="1" applyBorder="1" applyAlignment="1">
      <alignment horizontal="center" vertical="top" wrapText="1"/>
    </xf>
    <xf numFmtId="0" fontId="8" fillId="2" borderId="12" xfId="3" quotePrefix="1" applyFont="1" applyFill="1" applyBorder="1" applyAlignment="1">
      <alignment horizontal="center" vertical="top" wrapText="1"/>
    </xf>
    <xf numFmtId="0" fontId="8" fillId="2" borderId="12" xfId="3" applyFont="1" applyFill="1" applyBorder="1" applyAlignment="1">
      <alignment vertical="top" wrapText="1"/>
    </xf>
    <xf numFmtId="0" fontId="11" fillId="3" borderId="12" xfId="4" applyFont="1" applyFill="1" applyBorder="1" applyAlignment="1">
      <alignment horizontal="center" vertical="top" wrapText="1"/>
    </xf>
    <xf numFmtId="0" fontId="11" fillId="4" borderId="12" xfId="4" applyFont="1" applyFill="1" applyBorder="1" applyAlignment="1">
      <alignment horizontal="center" vertical="top" wrapText="1"/>
    </xf>
    <xf numFmtId="0" fontId="10" fillId="5" borderId="12" xfId="4" applyFont="1" applyFill="1" applyBorder="1" applyAlignment="1">
      <alignment horizontal="center" vertical="top" wrapText="1"/>
    </xf>
    <xf numFmtId="0" fontId="11" fillId="5" borderId="12" xfId="4" applyFont="1" applyFill="1" applyBorder="1" applyAlignment="1">
      <alignment horizontal="center" vertical="top" wrapText="1"/>
    </xf>
    <xf numFmtId="9" fontId="11" fillId="5" borderId="12" xfId="4" applyNumberFormat="1" applyFont="1" applyFill="1" applyBorder="1" applyAlignment="1">
      <alignment horizontal="center" vertical="top" wrapText="1"/>
    </xf>
    <xf numFmtId="0" fontId="6" fillId="2" borderId="12" xfId="3" quotePrefix="1" applyFont="1" applyFill="1" applyBorder="1" applyAlignment="1">
      <alignment vertical="top"/>
    </xf>
    <xf numFmtId="9" fontId="15" fillId="5" borderId="12" xfId="4" applyNumberFormat="1" applyFont="1" applyFill="1" applyBorder="1" applyAlignment="1">
      <alignment horizontal="center" vertical="top" wrapText="1"/>
    </xf>
    <xf numFmtId="9" fontId="15" fillId="3" borderId="12" xfId="4" applyNumberFormat="1" applyFont="1" applyFill="1" applyBorder="1" applyAlignment="1">
      <alignment horizontal="center" vertical="top" wrapText="1"/>
    </xf>
    <xf numFmtId="41" fontId="15" fillId="3" borderId="12" xfId="5" quotePrefix="1" applyNumberFormat="1" applyFont="1" applyFill="1" applyBorder="1" applyAlignment="1">
      <alignment horizontal="center" vertical="top" wrapText="1"/>
    </xf>
    <xf numFmtId="9" fontId="8" fillId="5" borderId="12" xfId="2" applyFont="1" applyFill="1" applyBorder="1" applyAlignment="1">
      <alignment horizontal="center" vertical="top" wrapText="1"/>
    </xf>
    <xf numFmtId="9" fontId="8" fillId="3" borderId="12" xfId="2" applyFont="1" applyFill="1" applyBorder="1" applyAlignment="1">
      <alignment horizontal="center" vertical="top" wrapText="1"/>
    </xf>
    <xf numFmtId="0" fontId="6" fillId="2" borderId="12" xfId="3" quotePrefix="1" applyFont="1" applyFill="1" applyBorder="1" applyAlignment="1">
      <alignment vertical="top" wrapText="1"/>
    </xf>
    <xf numFmtId="0" fontId="8" fillId="2" borderId="12" xfId="3" quotePrefix="1" applyFont="1" applyFill="1" applyBorder="1" applyAlignment="1">
      <alignment vertical="top"/>
    </xf>
    <xf numFmtId="9" fontId="8" fillId="2" borderId="14" xfId="2" applyFont="1" applyFill="1" applyBorder="1" applyAlignment="1">
      <alignment horizontal="center" vertical="top" wrapText="1"/>
    </xf>
    <xf numFmtId="9" fontId="6" fillId="5" borderId="12" xfId="2" applyFont="1" applyFill="1" applyBorder="1" applyAlignment="1">
      <alignment vertical="top" wrapText="1"/>
    </xf>
    <xf numFmtId="0" fontId="24" fillId="6" borderId="12" xfId="6" applyFont="1" applyFill="1" applyBorder="1" applyAlignment="1">
      <alignment horizontal="left" vertical="top" wrapText="1"/>
    </xf>
    <xf numFmtId="0" fontId="24" fillId="0" borderId="12" xfId="5" applyFont="1" applyBorder="1" applyAlignment="1">
      <alignment horizontal="left" vertical="top" wrapText="1"/>
    </xf>
    <xf numFmtId="0" fontId="6" fillId="2" borderId="17" xfId="3" quotePrefix="1" applyFont="1" applyFill="1" applyBorder="1" applyAlignment="1">
      <alignment vertical="top"/>
    </xf>
    <xf numFmtId="9" fontId="6" fillId="5" borderId="17" xfId="2" applyFont="1" applyFill="1" applyBorder="1" applyAlignment="1">
      <alignment vertical="top" wrapText="1"/>
    </xf>
    <xf numFmtId="0" fontId="13" fillId="3" borderId="12" xfId="3" applyFont="1" applyFill="1" applyBorder="1" applyAlignment="1">
      <alignment vertical="top"/>
    </xf>
    <xf numFmtId="9" fontId="12" fillId="5" borderId="12" xfId="2" applyFont="1" applyFill="1" applyBorder="1" applyAlignment="1">
      <alignment vertical="top" wrapText="1"/>
    </xf>
    <xf numFmtId="10" fontId="10" fillId="2" borderId="24" xfId="2" applyNumberFormat="1" applyFont="1" applyFill="1" applyBorder="1" applyAlignment="1">
      <alignment horizontal="center" vertical="top" wrapText="1"/>
    </xf>
    <xf numFmtId="9" fontId="10" fillId="2" borderId="24" xfId="2" applyFont="1" applyFill="1" applyBorder="1" applyAlignment="1">
      <alignment horizontal="center" vertical="top" wrapText="1"/>
    </xf>
    <xf numFmtId="9" fontId="11" fillId="2" borderId="24" xfId="2" applyFont="1" applyFill="1" applyBorder="1" applyAlignment="1">
      <alignment horizontal="center" vertical="top" wrapText="1"/>
    </xf>
    <xf numFmtId="0" fontId="7" fillId="0" borderId="12" xfId="6" applyFont="1" applyFill="1" applyBorder="1" applyAlignment="1">
      <alignment horizontal="left" vertical="top" wrapText="1"/>
    </xf>
    <xf numFmtId="9" fontId="15" fillId="3" borderId="12" xfId="5" applyNumberFormat="1" applyFont="1" applyFill="1" applyBorder="1" applyAlignment="1">
      <alignment horizontal="center" vertical="top" wrapText="1"/>
    </xf>
    <xf numFmtId="9" fontId="15" fillId="5" borderId="12" xfId="5" applyNumberFormat="1" applyFont="1" applyFill="1" applyBorder="1" applyAlignment="1">
      <alignment horizontal="center" vertical="top" wrapText="1"/>
    </xf>
    <xf numFmtId="0" fontId="6" fillId="0" borderId="12" xfId="0" applyFont="1" applyBorder="1" applyAlignment="1">
      <alignment horizontal="justify" vertical="top" wrapText="1"/>
    </xf>
    <xf numFmtId="41" fontId="25" fillId="3" borderId="12" xfId="0" applyNumberFormat="1" applyFont="1" applyFill="1" applyBorder="1" applyAlignment="1">
      <alignment horizontal="center" vertical="top" wrapText="1"/>
    </xf>
    <xf numFmtId="0" fontId="25" fillId="5" borderId="12" xfId="0" applyFont="1" applyFill="1" applyBorder="1" applyAlignment="1">
      <alignment horizontal="center" vertical="top" wrapText="1"/>
    </xf>
    <xf numFmtId="0" fontId="25" fillId="0" borderId="12" xfId="0" applyFont="1" applyBorder="1" applyAlignment="1">
      <alignment horizontal="justify" vertical="top" wrapText="1"/>
    </xf>
    <xf numFmtId="0" fontId="6" fillId="2" borderId="12" xfId="0" applyFont="1" applyFill="1" applyBorder="1" applyAlignment="1">
      <alignment horizontal="justify" vertical="top" wrapText="1"/>
    </xf>
    <xf numFmtId="0" fontId="25" fillId="5" borderId="12" xfId="0" quotePrefix="1" applyFont="1" applyFill="1" applyBorder="1" applyAlignment="1">
      <alignment horizontal="center" vertical="top" wrapText="1"/>
    </xf>
    <xf numFmtId="0" fontId="6" fillId="2" borderId="17" xfId="3" quotePrefix="1" applyFont="1" applyFill="1" applyBorder="1" applyAlignment="1">
      <alignment vertical="top" wrapText="1"/>
    </xf>
    <xf numFmtId="9" fontId="7" fillId="3" borderId="12" xfId="3" applyNumberFormat="1" applyFont="1" applyFill="1" applyBorder="1" applyAlignment="1">
      <alignment horizontal="center" vertical="top" wrapText="1"/>
    </xf>
    <xf numFmtId="41" fontId="25" fillId="3" borderId="12" xfId="0" quotePrefix="1" applyNumberFormat="1" applyFont="1" applyFill="1" applyBorder="1" applyAlignment="1">
      <alignment horizontal="center" vertical="top" wrapText="1"/>
    </xf>
    <xf numFmtId="0" fontId="25" fillId="0" borderId="12" xfId="0" applyFont="1" applyBorder="1" applyAlignment="1">
      <alignment wrapText="1"/>
    </xf>
    <xf numFmtId="0" fontId="15" fillId="0" borderId="12" xfId="7" applyFont="1" applyBorder="1" applyAlignment="1">
      <alignment horizontal="left" vertical="top" wrapText="1"/>
    </xf>
    <xf numFmtId="41" fontId="6" fillId="3" borderId="12" xfId="0" applyNumberFormat="1" applyFont="1" applyFill="1" applyBorder="1" applyAlignment="1">
      <alignment horizontal="center" vertical="top"/>
    </xf>
    <xf numFmtId="0" fontId="15" fillId="5" borderId="17" xfId="5" applyFont="1" applyFill="1" applyBorder="1" applyAlignment="1">
      <alignment horizontal="center" vertical="top" wrapText="1"/>
    </xf>
    <xf numFmtId="0" fontId="15" fillId="4" borderId="22" xfId="5" applyFont="1" applyFill="1" applyBorder="1" applyAlignment="1">
      <alignment horizontal="center" vertical="top" wrapText="1"/>
    </xf>
    <xf numFmtId="0" fontId="26" fillId="6" borderId="12" xfId="6" applyFont="1" applyFill="1" applyBorder="1" applyAlignment="1">
      <alignment horizontal="left" vertical="top" wrapText="1"/>
    </xf>
    <xf numFmtId="9" fontId="7" fillId="3" borderId="13" xfId="2" applyNumberFormat="1" applyFont="1" applyFill="1" applyBorder="1" applyAlignment="1">
      <alignment horizontal="center" vertical="top" wrapText="1"/>
    </xf>
    <xf numFmtId="9" fontId="6" fillId="3" borderId="17" xfId="2" applyNumberFormat="1" applyFont="1" applyFill="1" applyBorder="1" applyAlignment="1">
      <alignment horizontal="center" vertical="top" wrapText="1"/>
    </xf>
    <xf numFmtId="43" fontId="20" fillId="0" borderId="12" xfId="1" applyFont="1" applyFill="1" applyBorder="1" applyAlignment="1">
      <alignment horizontal="center" vertical="center" wrapText="1"/>
    </xf>
    <xf numFmtId="0" fontId="18" fillId="0" borderId="13" xfId="3" applyFont="1" applyFill="1" applyBorder="1" applyAlignment="1">
      <alignment horizontal="center" vertical="center" wrapText="1"/>
    </xf>
    <xf numFmtId="0" fontId="20" fillId="0" borderId="10" xfId="3" applyFont="1" applyFill="1" applyBorder="1" applyAlignment="1">
      <alignment horizontal="center" vertical="center" wrapText="1"/>
    </xf>
    <xf numFmtId="0" fontId="8" fillId="0" borderId="17" xfId="3" applyFont="1" applyFill="1" applyBorder="1" applyAlignment="1">
      <alignment horizontal="center" vertical="center"/>
    </xf>
    <xf numFmtId="43" fontId="10" fillId="0" borderId="17" xfId="1" quotePrefix="1" applyFont="1" applyFill="1" applyBorder="1" applyAlignment="1">
      <alignment horizontal="center" vertical="center"/>
    </xf>
    <xf numFmtId="0" fontId="10" fillId="0" borderId="17" xfId="3" applyFont="1" applyFill="1" applyBorder="1" applyAlignment="1">
      <alignment horizontal="center" vertical="center"/>
    </xf>
    <xf numFmtId="0" fontId="6" fillId="0" borderId="13" xfId="3" applyFont="1" applyFill="1" applyBorder="1" applyAlignment="1">
      <alignment horizontal="center" vertical="center"/>
    </xf>
    <xf numFmtId="0" fontId="7" fillId="0" borderId="13" xfId="3" applyFont="1" applyFill="1" applyBorder="1" applyAlignment="1">
      <alignment horizontal="center" vertical="center"/>
    </xf>
    <xf numFmtId="0" fontId="7" fillId="0" borderId="12" xfId="3" applyFont="1" applyFill="1" applyBorder="1" applyAlignment="1">
      <alignment horizontal="center" vertical="center"/>
    </xf>
    <xf numFmtId="4" fontId="7" fillId="0" borderId="12" xfId="3" applyNumberFormat="1" applyFont="1" applyFill="1" applyBorder="1" applyAlignment="1">
      <alignment horizontal="center" vertical="center"/>
    </xf>
    <xf numFmtId="4" fontId="10" fillId="0" borderId="12" xfId="3" applyNumberFormat="1" applyFont="1" applyFill="1" applyBorder="1" applyAlignment="1">
      <alignment horizontal="center" vertical="center"/>
    </xf>
    <xf numFmtId="10" fontId="8" fillId="0" borderId="13" xfId="3" applyNumberFormat="1" applyFont="1" applyFill="1" applyBorder="1" applyAlignment="1">
      <alignment horizontal="center" vertical="center" wrapText="1"/>
    </xf>
    <xf numFmtId="4" fontId="10" fillId="0" borderId="13" xfId="3" applyNumberFormat="1" applyFont="1" applyFill="1" applyBorder="1" applyAlignment="1">
      <alignment horizontal="center" vertical="center" wrapText="1"/>
    </xf>
    <xf numFmtId="0" fontId="6" fillId="0" borderId="0" xfId="3" applyFont="1" applyFill="1" applyAlignment="1">
      <alignment horizontal="center" vertical="center"/>
    </xf>
    <xf numFmtId="0" fontId="7" fillId="0" borderId="0" xfId="3" applyFont="1" applyFill="1" applyAlignment="1">
      <alignment horizontal="center" vertical="center"/>
    </xf>
    <xf numFmtId="4" fontId="6" fillId="0" borderId="13" xfId="3" applyNumberFormat="1" applyFont="1" applyFill="1" applyBorder="1" applyAlignment="1">
      <alignment horizontal="center" vertical="center"/>
    </xf>
    <xf numFmtId="0" fontId="8" fillId="0" borderId="17" xfId="3" quotePrefix="1" applyFont="1" applyFill="1" applyBorder="1" applyAlignment="1">
      <alignment horizontal="center" vertical="center"/>
    </xf>
    <xf numFmtId="10" fontId="8" fillId="0" borderId="12" xfId="3" applyNumberFormat="1" applyFont="1" applyFill="1" applyBorder="1" applyAlignment="1">
      <alignment horizontal="center" vertical="center" wrapText="1"/>
    </xf>
    <xf numFmtId="0" fontId="6" fillId="2" borderId="12" xfId="3" applyFont="1" applyFill="1" applyBorder="1" applyAlignment="1">
      <alignment horizontal="left" vertical="center"/>
    </xf>
    <xf numFmtId="0" fontId="6" fillId="0" borderId="12" xfId="3" applyFont="1" applyFill="1" applyBorder="1" applyAlignment="1">
      <alignment horizontal="center" vertical="center"/>
    </xf>
    <xf numFmtId="0" fontId="6" fillId="2" borderId="12" xfId="3" quotePrefix="1" applyFont="1" applyFill="1" applyBorder="1" applyAlignment="1">
      <alignment horizontal="center" vertical="center"/>
    </xf>
    <xf numFmtId="0" fontId="15" fillId="0" borderId="12" xfId="4" applyFont="1" applyFill="1" applyBorder="1" applyAlignment="1">
      <alignment horizontal="left" vertical="center" wrapText="1"/>
    </xf>
    <xf numFmtId="0" fontId="8" fillId="2" borderId="19" xfId="3" applyFont="1" applyFill="1" applyBorder="1" applyAlignment="1">
      <alignment horizontal="right" vertical="center"/>
    </xf>
    <xf numFmtId="3" fontId="8" fillId="2" borderId="13" xfId="3" quotePrefix="1" applyNumberFormat="1" applyFont="1" applyFill="1" applyBorder="1" applyAlignment="1">
      <alignment horizontal="right" vertical="center"/>
    </xf>
    <xf numFmtId="0" fontId="8" fillId="2" borderId="13" xfId="3" quotePrefix="1" applyFont="1" applyFill="1" applyBorder="1" applyAlignment="1">
      <alignment horizontal="right" vertical="center"/>
    </xf>
    <xf numFmtId="9" fontId="11" fillId="2" borderId="12" xfId="5" applyNumberFormat="1" applyFont="1" applyFill="1" applyBorder="1" applyAlignment="1">
      <alignment horizontal="left" vertical="center" wrapText="1"/>
    </xf>
    <xf numFmtId="9" fontId="8" fillId="0" borderId="13" xfId="3" applyNumberFormat="1" applyFont="1" applyFill="1" applyBorder="1" applyAlignment="1">
      <alignment horizontal="center" vertical="center"/>
    </xf>
    <xf numFmtId="9" fontId="10" fillId="0" borderId="13" xfId="3" applyNumberFormat="1" applyFont="1" applyFill="1" applyBorder="1" applyAlignment="1">
      <alignment horizontal="center" vertical="center"/>
    </xf>
    <xf numFmtId="9" fontId="10" fillId="0" borderId="12" xfId="3" applyNumberFormat="1" applyFont="1" applyFill="1" applyBorder="1" applyAlignment="1">
      <alignment horizontal="center" vertical="center"/>
    </xf>
    <xf numFmtId="2" fontId="10" fillId="0" borderId="13" xfId="3" applyNumberFormat="1" applyFont="1" applyFill="1" applyBorder="1" applyAlignment="1">
      <alignment horizontal="center" vertical="center"/>
    </xf>
    <xf numFmtId="0" fontId="6" fillId="2" borderId="19" xfId="3" applyFont="1" applyFill="1" applyBorder="1" applyAlignment="1">
      <alignment horizontal="right" vertical="center"/>
    </xf>
    <xf numFmtId="3" fontId="6" fillId="2" borderId="13" xfId="3" quotePrefix="1" applyNumberFormat="1" applyFont="1" applyFill="1" applyBorder="1" applyAlignment="1">
      <alignment horizontal="right" vertical="center"/>
    </xf>
    <xf numFmtId="0" fontId="6" fillId="2" borderId="13" xfId="3" quotePrefix="1" applyFont="1" applyFill="1" applyBorder="1" applyAlignment="1">
      <alignment horizontal="right" vertical="center"/>
    </xf>
    <xf numFmtId="0" fontId="6" fillId="2" borderId="12" xfId="3" quotePrefix="1" applyFont="1" applyFill="1" applyBorder="1" applyAlignment="1">
      <alignment horizontal="right" vertical="center"/>
    </xf>
    <xf numFmtId="0" fontId="15" fillId="2" borderId="12" xfId="8" applyFont="1" applyFill="1" applyBorder="1" applyAlignment="1">
      <alignment horizontal="left" vertical="center" wrapText="1"/>
    </xf>
    <xf numFmtId="9" fontId="6" fillId="0" borderId="13" xfId="3" applyNumberFormat="1" applyFont="1" applyFill="1" applyBorder="1" applyAlignment="1">
      <alignment horizontal="center" vertical="center" wrapText="1"/>
    </xf>
    <xf numFmtId="9" fontId="7" fillId="0" borderId="12" xfId="3" applyNumberFormat="1" applyFont="1" applyFill="1" applyBorder="1" applyAlignment="1">
      <alignment horizontal="center" vertical="center" wrapText="1"/>
    </xf>
    <xf numFmtId="9" fontId="6" fillId="0" borderId="12" xfId="3" applyNumberFormat="1" applyFont="1" applyFill="1" applyBorder="1" applyAlignment="1">
      <alignment horizontal="center" vertical="center" wrapText="1"/>
    </xf>
    <xf numFmtId="4" fontId="7" fillId="0" borderId="12" xfId="3" applyNumberFormat="1" applyFont="1" applyFill="1" applyBorder="1" applyAlignment="1">
      <alignment horizontal="center" vertical="center" wrapText="1"/>
    </xf>
    <xf numFmtId="0" fontId="6" fillId="2" borderId="12" xfId="3" applyFont="1" applyFill="1" applyBorder="1" applyAlignment="1">
      <alignment horizontal="left" vertical="center" wrapText="1"/>
    </xf>
    <xf numFmtId="9" fontId="6" fillId="0" borderId="13" xfId="3" applyNumberFormat="1" applyFont="1" applyFill="1" applyBorder="1" applyAlignment="1">
      <alignment horizontal="center" vertical="center"/>
    </xf>
    <xf numFmtId="0" fontId="15" fillId="2" borderId="12" xfId="6" applyFont="1" applyFill="1" applyBorder="1" applyAlignment="1">
      <alignment horizontal="left" vertical="center" wrapText="1"/>
    </xf>
    <xf numFmtId="0" fontId="15" fillId="2" borderId="12" xfId="9" applyFont="1" applyFill="1" applyBorder="1" applyAlignment="1">
      <alignment horizontal="left" vertical="center" wrapText="1"/>
    </xf>
    <xf numFmtId="41" fontId="15" fillId="0" borderId="12" xfId="5" applyNumberFormat="1" applyFont="1" applyFill="1" applyBorder="1" applyAlignment="1">
      <alignment horizontal="center" vertical="center" wrapText="1"/>
    </xf>
    <xf numFmtId="0" fontId="15" fillId="0" borderId="12" xfId="5" applyFont="1" applyFill="1" applyBorder="1" applyAlignment="1">
      <alignment horizontal="center" vertical="center" wrapText="1"/>
    </xf>
    <xf numFmtId="0" fontId="15" fillId="0" borderId="12" xfId="6" applyFont="1" applyFill="1" applyBorder="1" applyAlignment="1">
      <alignment horizontal="left" vertical="center" wrapText="1"/>
    </xf>
    <xf numFmtId="0" fontId="15" fillId="0" borderId="12" xfId="8" applyFont="1" applyBorder="1" applyAlignment="1">
      <alignment horizontal="left" vertical="center" wrapText="1"/>
    </xf>
    <xf numFmtId="0" fontId="15" fillId="0" borderId="12" xfId="6" applyFont="1" applyFill="1" applyBorder="1" applyAlignment="1">
      <alignment vertical="center" wrapText="1"/>
    </xf>
    <xf numFmtId="0" fontId="15" fillId="0" borderId="12" xfId="9" applyFont="1" applyFill="1" applyBorder="1" applyAlignment="1">
      <alignment vertical="center" wrapText="1"/>
    </xf>
    <xf numFmtId="0" fontId="6" fillId="2" borderId="13" xfId="3" applyFont="1" applyFill="1" applyBorder="1" applyAlignment="1">
      <alignment horizontal="right" vertical="center"/>
    </xf>
    <xf numFmtId="2" fontId="7" fillId="0" borderId="13" xfId="3" applyNumberFormat="1" applyFont="1" applyFill="1" applyBorder="1" applyAlignment="1">
      <alignment horizontal="center" vertical="center"/>
    </xf>
    <xf numFmtId="0" fontId="7" fillId="2" borderId="13" xfId="3" applyFont="1" applyFill="1" applyBorder="1" applyAlignment="1">
      <alignment horizontal="right" vertical="center"/>
    </xf>
    <xf numFmtId="9" fontId="7" fillId="0" borderId="13" xfId="3" applyNumberFormat="1" applyFont="1" applyFill="1" applyBorder="1" applyAlignment="1">
      <alignment horizontal="center" vertical="center"/>
    </xf>
    <xf numFmtId="9" fontId="7" fillId="0" borderId="12" xfId="3" applyNumberFormat="1" applyFont="1" applyFill="1" applyBorder="1" applyAlignment="1">
      <alignment horizontal="center" vertical="center"/>
    </xf>
    <xf numFmtId="4" fontId="7" fillId="0" borderId="13" xfId="3" applyNumberFormat="1" applyFont="1" applyFill="1" applyBorder="1" applyAlignment="1">
      <alignment horizontal="center" vertical="center"/>
    </xf>
    <xf numFmtId="0" fontId="15" fillId="0" borderId="12" xfId="5" applyFont="1" applyBorder="1" applyAlignment="1">
      <alignment horizontal="left" vertical="center" wrapText="1"/>
    </xf>
    <xf numFmtId="9" fontId="6" fillId="0" borderId="12" xfId="3" applyNumberFormat="1" applyFont="1" applyFill="1" applyBorder="1" applyAlignment="1">
      <alignment horizontal="center" vertical="center"/>
    </xf>
    <xf numFmtId="9" fontId="8" fillId="0" borderId="13" xfId="3" applyNumberFormat="1" applyFont="1" applyFill="1" applyBorder="1" applyAlignment="1">
      <alignment horizontal="center" vertical="center" wrapText="1"/>
    </xf>
    <xf numFmtId="9" fontId="8" fillId="0" borderId="12" xfId="3" applyNumberFormat="1" applyFont="1" applyFill="1" applyBorder="1" applyAlignment="1">
      <alignment horizontal="center" vertical="center"/>
    </xf>
    <xf numFmtId="2" fontId="8" fillId="0" borderId="12" xfId="3" applyNumberFormat="1" applyFont="1" applyFill="1" applyBorder="1" applyAlignment="1">
      <alignment horizontal="center" vertical="center"/>
    </xf>
    <xf numFmtId="0" fontId="15" fillId="6" borderId="12" xfId="8" applyFont="1" applyFill="1" applyBorder="1" applyAlignment="1">
      <alignment horizontal="left" vertical="center" wrapText="1"/>
    </xf>
    <xf numFmtId="9" fontId="6" fillId="0" borderId="12" xfId="2" applyFont="1" applyFill="1" applyBorder="1" applyAlignment="1">
      <alignment horizontal="center" vertical="center" wrapText="1"/>
    </xf>
    <xf numFmtId="2" fontId="7" fillId="0" borderId="12" xfId="3" applyNumberFormat="1" applyFont="1" applyFill="1" applyBorder="1" applyAlignment="1">
      <alignment horizontal="center" vertical="center" wrapText="1"/>
    </xf>
    <xf numFmtId="2" fontId="7" fillId="0" borderId="12" xfId="3" applyNumberFormat="1" applyFont="1" applyFill="1" applyBorder="1" applyAlignment="1">
      <alignment horizontal="center" vertical="center"/>
    </xf>
    <xf numFmtId="10" fontId="6" fillId="0" borderId="13" xfId="3" applyNumberFormat="1" applyFont="1" applyFill="1" applyBorder="1" applyAlignment="1">
      <alignment horizontal="center" vertical="center"/>
    </xf>
    <xf numFmtId="2" fontId="6" fillId="0" borderId="13" xfId="3" applyNumberFormat="1" applyFont="1" applyFill="1" applyBorder="1" applyAlignment="1">
      <alignment horizontal="center" vertical="center"/>
    </xf>
    <xf numFmtId="9" fontId="7" fillId="0" borderId="12" xfId="2" applyNumberFormat="1" applyFont="1" applyFill="1" applyBorder="1" applyAlignment="1">
      <alignment horizontal="center" vertical="center" wrapText="1"/>
    </xf>
    <xf numFmtId="2" fontId="7" fillId="0" borderId="12" xfId="2" applyNumberFormat="1" applyFont="1" applyFill="1" applyBorder="1" applyAlignment="1">
      <alignment horizontal="center" vertical="center"/>
    </xf>
    <xf numFmtId="0" fontId="12" fillId="2" borderId="13" xfId="3" applyFont="1" applyFill="1" applyBorder="1" applyAlignment="1">
      <alignment horizontal="right" vertical="center"/>
    </xf>
    <xf numFmtId="0" fontId="13" fillId="2" borderId="13" xfId="3" quotePrefix="1" applyFont="1" applyFill="1" applyBorder="1" applyAlignment="1">
      <alignment horizontal="right" vertical="center"/>
    </xf>
    <xf numFmtId="2" fontId="7" fillId="0" borderId="12" xfId="1" applyNumberFormat="1" applyFont="1" applyFill="1" applyBorder="1" applyAlignment="1">
      <alignment horizontal="center" vertical="center"/>
    </xf>
    <xf numFmtId="0" fontId="17" fillId="2" borderId="13" xfId="3" quotePrefix="1" applyFont="1" applyFill="1" applyBorder="1" applyAlignment="1">
      <alignment horizontal="right" vertical="center"/>
    </xf>
    <xf numFmtId="0" fontId="10" fillId="2" borderId="12" xfId="3" applyFont="1" applyFill="1" applyBorder="1" applyAlignment="1">
      <alignment vertical="center" wrapText="1"/>
    </xf>
    <xf numFmtId="0" fontId="11" fillId="0" borderId="12" xfId="9" applyFont="1" applyFill="1" applyBorder="1" applyAlignment="1">
      <alignment horizontal="left" vertical="center" wrapText="1"/>
    </xf>
    <xf numFmtId="41" fontId="11" fillId="0" borderId="12" xfId="5" applyNumberFormat="1" applyFont="1" applyFill="1" applyBorder="1" applyAlignment="1">
      <alignment horizontal="center" vertical="center" wrapText="1"/>
    </xf>
    <xf numFmtId="0" fontId="11" fillId="0" borderId="12" xfId="5" applyFont="1" applyFill="1" applyBorder="1" applyAlignment="1">
      <alignment horizontal="center" vertical="center" wrapText="1"/>
    </xf>
    <xf numFmtId="2" fontId="10" fillId="0" borderId="12" xfId="2" applyNumberFormat="1" applyFont="1" applyFill="1" applyBorder="1" applyAlignment="1">
      <alignment horizontal="center" vertical="center"/>
    </xf>
    <xf numFmtId="0" fontId="15" fillId="6" borderId="12" xfId="6" applyFont="1" applyFill="1" applyBorder="1" applyAlignment="1">
      <alignment horizontal="left" vertical="center" wrapText="1"/>
    </xf>
    <xf numFmtId="0" fontId="15" fillId="0" borderId="12" xfId="9" applyFont="1" applyFill="1" applyBorder="1" applyAlignment="1">
      <alignment horizontal="left" vertical="center" wrapText="1"/>
    </xf>
    <xf numFmtId="41" fontId="15" fillId="0" borderId="13" xfId="5" applyNumberFormat="1" applyFont="1" applyFill="1" applyBorder="1" applyAlignment="1">
      <alignment horizontal="center" vertical="center" wrapText="1"/>
    </xf>
    <xf numFmtId="0" fontId="15" fillId="0" borderId="13" xfId="5" quotePrefix="1" applyFont="1" applyFill="1" applyBorder="1" applyAlignment="1">
      <alignment horizontal="center" vertical="center" wrapText="1"/>
    </xf>
    <xf numFmtId="0" fontId="15" fillId="0" borderId="13" xfId="5" applyFont="1" applyFill="1" applyBorder="1" applyAlignment="1">
      <alignment horizontal="center" vertical="center" wrapText="1"/>
    </xf>
    <xf numFmtId="0" fontId="10" fillId="2" borderId="13" xfId="3" applyFont="1" applyFill="1" applyBorder="1" applyAlignment="1">
      <alignment horizontal="right" vertical="center"/>
    </xf>
    <xf numFmtId="0" fontId="10" fillId="2" borderId="12" xfId="3" applyFont="1" applyFill="1" applyBorder="1" applyAlignment="1">
      <alignment horizontal="left" vertical="center" wrapText="1"/>
    </xf>
    <xf numFmtId="41" fontId="11" fillId="2" borderId="12" xfId="5" applyNumberFormat="1" applyFont="1" applyFill="1" applyBorder="1" applyAlignment="1">
      <alignment horizontal="center" vertical="center" wrapText="1"/>
    </xf>
    <xf numFmtId="0" fontId="10" fillId="0" borderId="13" xfId="3" applyFont="1" applyFill="1" applyBorder="1" applyAlignment="1">
      <alignment horizontal="center" vertical="center" wrapText="1"/>
    </xf>
    <xf numFmtId="0" fontId="7" fillId="2" borderId="13" xfId="3" quotePrefix="1" applyFont="1" applyFill="1" applyBorder="1" applyAlignment="1">
      <alignment horizontal="right" vertical="center"/>
    </xf>
    <xf numFmtId="9" fontId="13" fillId="0" borderId="12" xfId="3" applyNumberFormat="1" applyFont="1" applyFill="1" applyBorder="1" applyAlignment="1">
      <alignment horizontal="center" vertical="center"/>
    </xf>
    <xf numFmtId="4" fontId="13" fillId="0" borderId="12" xfId="2" applyNumberFormat="1" applyFont="1" applyFill="1" applyBorder="1" applyAlignment="1">
      <alignment horizontal="center" vertical="center"/>
    </xf>
    <xf numFmtId="2" fontId="13" fillId="0" borderId="12" xfId="2" applyNumberFormat="1" applyFont="1" applyFill="1" applyBorder="1" applyAlignment="1">
      <alignment horizontal="center" vertical="center"/>
    </xf>
    <xf numFmtId="0" fontId="8" fillId="2" borderId="12" xfId="3" applyFont="1" applyFill="1" applyBorder="1" applyAlignment="1">
      <alignment horizontal="right" vertical="center" wrapText="1"/>
    </xf>
    <xf numFmtId="0" fontId="8" fillId="2" borderId="12" xfId="3" applyFont="1" applyFill="1" applyBorder="1" applyAlignment="1">
      <alignment vertical="center" wrapText="1"/>
    </xf>
    <xf numFmtId="9" fontId="11" fillId="2" borderId="12" xfId="5" applyNumberFormat="1" applyFont="1" applyFill="1" applyBorder="1" applyAlignment="1">
      <alignment horizontal="center" vertical="center" wrapText="1"/>
    </xf>
    <xf numFmtId="9" fontId="10" fillId="0" borderId="12" xfId="4" applyNumberFormat="1" applyFont="1" applyFill="1" applyBorder="1" applyAlignment="1">
      <alignment horizontal="center" vertical="center" wrapText="1"/>
    </xf>
    <xf numFmtId="2" fontId="11" fillId="0" borderId="12" xfId="4" applyNumberFormat="1" applyFont="1" applyFill="1" applyBorder="1" applyAlignment="1">
      <alignment horizontal="center" vertical="center" wrapText="1"/>
    </xf>
    <xf numFmtId="9" fontId="11" fillId="0" borderId="12" xfId="4" applyNumberFormat="1" applyFont="1" applyFill="1" applyBorder="1" applyAlignment="1">
      <alignment horizontal="center" vertical="center" wrapText="1"/>
    </xf>
    <xf numFmtId="9" fontId="15" fillId="0" borderId="12" xfId="4" applyNumberFormat="1" applyFont="1" applyFill="1" applyBorder="1" applyAlignment="1">
      <alignment horizontal="center" vertical="center" wrapText="1"/>
    </xf>
    <xf numFmtId="2" fontId="15" fillId="0" borderId="12" xfId="4" applyNumberFormat="1" applyFont="1" applyFill="1" applyBorder="1" applyAlignment="1">
      <alignment horizontal="center" vertical="center" wrapText="1"/>
    </xf>
    <xf numFmtId="4" fontId="15" fillId="0" borderId="12" xfId="4" applyNumberFormat="1" applyFont="1" applyFill="1" applyBorder="1" applyAlignment="1">
      <alignment horizontal="center" vertical="center" wrapText="1"/>
    </xf>
    <xf numFmtId="0" fontId="15" fillId="0" borderId="12" xfId="5" applyFont="1" applyFill="1" applyBorder="1" applyAlignment="1">
      <alignment horizontal="left" vertical="center" wrapText="1"/>
    </xf>
    <xf numFmtId="41" fontId="15" fillId="0" borderId="12" xfId="5" applyNumberFormat="1" applyFont="1" applyBorder="1" applyAlignment="1">
      <alignment horizontal="center" vertical="center" wrapText="1"/>
    </xf>
    <xf numFmtId="2" fontId="6" fillId="0" borderId="12" xfId="2" applyNumberFormat="1" applyFont="1" applyFill="1" applyBorder="1" applyAlignment="1">
      <alignment horizontal="center" vertical="center" wrapText="1"/>
    </xf>
    <xf numFmtId="41" fontId="15" fillId="0" borderId="12" xfId="5" quotePrefix="1" applyNumberFormat="1" applyFont="1" applyFill="1" applyBorder="1" applyAlignment="1">
      <alignment horizontal="center" vertical="center" wrapText="1"/>
    </xf>
    <xf numFmtId="0" fontId="8" fillId="2" borderId="12" xfId="3" quotePrefix="1" applyFont="1" applyFill="1" applyBorder="1" applyAlignment="1">
      <alignment horizontal="right" vertical="center"/>
    </xf>
    <xf numFmtId="0" fontId="6" fillId="0" borderId="12" xfId="0" applyNumberFormat="1" applyFont="1" applyFill="1" applyBorder="1" applyAlignment="1">
      <alignment horizontal="left" vertical="center" wrapText="1"/>
    </xf>
    <xf numFmtId="9" fontId="8" fillId="0" borderId="12" xfId="3" quotePrefix="1" applyNumberFormat="1" applyFont="1" applyFill="1" applyBorder="1" applyAlignment="1">
      <alignment horizontal="center" vertical="center"/>
    </xf>
    <xf numFmtId="9" fontId="6" fillId="0" borderId="12" xfId="10" quotePrefix="1" applyFont="1" applyFill="1" applyBorder="1" applyAlignment="1">
      <alignment horizontal="center" vertical="center" wrapText="1"/>
    </xf>
    <xf numFmtId="9" fontId="8" fillId="0" borderId="12" xfId="2" quotePrefix="1" applyFont="1" applyFill="1" applyBorder="1" applyAlignment="1">
      <alignment horizontal="center" vertical="center" wrapText="1"/>
    </xf>
    <xf numFmtId="9" fontId="6" fillId="0" borderId="12" xfId="10" applyFont="1" applyFill="1" applyBorder="1" applyAlignment="1">
      <alignment horizontal="center" vertical="center" wrapText="1"/>
    </xf>
    <xf numFmtId="9" fontId="10" fillId="0" borderId="12" xfId="3" quotePrefix="1" applyNumberFormat="1" applyFont="1" applyFill="1" applyBorder="1" applyAlignment="1">
      <alignment horizontal="center" vertical="center"/>
    </xf>
    <xf numFmtId="9" fontId="8" fillId="0" borderId="12" xfId="2" applyFont="1" applyFill="1" applyBorder="1" applyAlignment="1">
      <alignment horizontal="center" vertical="center" wrapText="1"/>
    </xf>
    <xf numFmtId="0" fontId="8" fillId="2" borderId="13" xfId="3" quotePrefix="1" applyFont="1" applyFill="1" applyBorder="1" applyAlignment="1">
      <alignment horizontal="right" vertical="center" wrapText="1"/>
    </xf>
    <xf numFmtId="0" fontId="6" fillId="0" borderId="17" xfId="9" applyFont="1" applyFill="1" applyBorder="1" applyAlignment="1">
      <alignment horizontal="left" vertical="center" wrapText="1"/>
    </xf>
    <xf numFmtId="9" fontId="6" fillId="0" borderId="12" xfId="9" applyNumberFormat="1" applyFont="1" applyFill="1" applyBorder="1" applyAlignment="1">
      <alignment horizontal="center" vertical="center" wrapText="1"/>
    </xf>
    <xf numFmtId="9" fontId="6" fillId="0" borderId="12" xfId="9" quotePrefix="1" applyNumberFormat="1" applyFont="1" applyFill="1" applyBorder="1" applyAlignment="1">
      <alignment horizontal="center" vertical="center" wrapText="1"/>
    </xf>
    <xf numFmtId="2" fontId="8" fillId="0" borderId="12" xfId="2" applyNumberFormat="1" applyFont="1" applyFill="1" applyBorder="1" applyAlignment="1">
      <alignment horizontal="center" vertical="center" wrapText="1"/>
    </xf>
    <xf numFmtId="0" fontId="6" fillId="0" borderId="12" xfId="9" applyFont="1" applyFill="1" applyBorder="1" applyAlignment="1">
      <alignment horizontal="justify" vertical="center" wrapText="1"/>
    </xf>
    <xf numFmtId="0" fontId="6" fillId="0" borderId="12" xfId="10" applyNumberFormat="1" applyFont="1" applyFill="1" applyBorder="1" applyAlignment="1">
      <alignment horizontal="center" vertical="center" wrapText="1"/>
    </xf>
    <xf numFmtId="0" fontId="6" fillId="0" borderId="17" xfId="9" applyFont="1" applyFill="1" applyBorder="1" applyAlignment="1">
      <alignment vertical="center" wrapText="1"/>
    </xf>
    <xf numFmtId="9" fontId="6" fillId="0" borderId="12" xfId="10" applyNumberFormat="1" applyFont="1" applyFill="1" applyBorder="1" applyAlignment="1">
      <alignment horizontal="center" vertical="center" wrapText="1"/>
    </xf>
    <xf numFmtId="3" fontId="6" fillId="0" borderId="0" xfId="0" applyNumberFormat="1" applyFont="1" applyFill="1" applyAlignment="1">
      <alignment vertical="center" wrapText="1"/>
    </xf>
    <xf numFmtId="0" fontId="26" fillId="6" borderId="12" xfId="6" applyFont="1" applyFill="1" applyBorder="1" applyAlignment="1">
      <alignment horizontal="left" vertical="center" wrapText="1"/>
    </xf>
    <xf numFmtId="0" fontId="24" fillId="0" borderId="12" xfId="5" quotePrefix="1" applyFont="1" applyBorder="1" applyAlignment="1">
      <alignment horizontal="left" vertical="center" wrapText="1"/>
    </xf>
    <xf numFmtId="0" fontId="24" fillId="0" borderId="12" xfId="5" applyFont="1" applyBorder="1" applyAlignment="1">
      <alignment horizontal="left" vertical="center" wrapText="1"/>
    </xf>
    <xf numFmtId="0" fontId="6" fillId="2" borderId="12" xfId="3" quotePrefix="1" applyFont="1" applyFill="1" applyBorder="1" applyAlignment="1">
      <alignment horizontal="right" vertical="center" wrapText="1"/>
    </xf>
    <xf numFmtId="0" fontId="24" fillId="6" borderId="12" xfId="6" applyFont="1" applyFill="1" applyBorder="1" applyAlignment="1">
      <alignment horizontal="left" vertical="center" wrapText="1"/>
    </xf>
    <xf numFmtId="0" fontId="6" fillId="2" borderId="17" xfId="3" quotePrefix="1" applyFont="1" applyFill="1" applyBorder="1" applyAlignment="1">
      <alignment horizontal="right" vertical="center"/>
    </xf>
    <xf numFmtId="0" fontId="7" fillId="0" borderId="12" xfId="3" applyFont="1" applyFill="1" applyBorder="1" applyAlignment="1">
      <alignment horizontal="right" vertical="center" wrapText="1"/>
    </xf>
    <xf numFmtId="0" fontId="7" fillId="2" borderId="12" xfId="3" applyFont="1" applyFill="1" applyBorder="1" applyAlignment="1">
      <alignment horizontal="right" vertical="center" wrapText="1"/>
    </xf>
    <xf numFmtId="0" fontId="13" fillId="2" borderId="12" xfId="3" applyFont="1" applyFill="1" applyBorder="1" applyAlignment="1">
      <alignment horizontal="right" vertical="center" wrapText="1"/>
    </xf>
    <xf numFmtId="0" fontId="7" fillId="0" borderId="12" xfId="6" applyFont="1" applyFill="1" applyBorder="1" applyAlignment="1">
      <alignment horizontal="left" vertical="center" wrapText="1"/>
    </xf>
    <xf numFmtId="0" fontId="7" fillId="0" borderId="12" xfId="4" applyFont="1" applyFill="1" applyBorder="1" applyAlignment="1">
      <alignment horizontal="left" vertical="center" wrapText="1"/>
    </xf>
    <xf numFmtId="41" fontId="27" fillId="2" borderId="12" xfId="5" applyNumberFormat="1" applyFont="1" applyFill="1" applyBorder="1" applyAlignment="1">
      <alignment horizontal="center" vertical="center" wrapText="1"/>
    </xf>
    <xf numFmtId="0" fontId="13" fillId="0" borderId="12" xfId="3" applyFont="1" applyFill="1" applyBorder="1" applyAlignment="1">
      <alignment vertical="center"/>
    </xf>
    <xf numFmtId="0" fontId="7" fillId="0" borderId="0" xfId="3" applyFont="1" applyFill="1" applyAlignment="1">
      <alignment horizontal="center" vertical="center" wrapText="1"/>
    </xf>
    <xf numFmtId="39" fontId="15" fillId="0" borderId="12" xfId="5" applyNumberFormat="1" applyFont="1" applyFill="1" applyBorder="1" applyAlignment="1">
      <alignment horizontal="center" vertical="center" wrapText="1"/>
    </xf>
    <xf numFmtId="0" fontId="8" fillId="2" borderId="13" xfId="3" applyFont="1" applyFill="1" applyBorder="1" applyAlignment="1">
      <alignment horizontal="right" vertical="center"/>
    </xf>
    <xf numFmtId="0" fontId="6" fillId="2" borderId="12" xfId="3" applyFont="1" applyFill="1" applyBorder="1" applyAlignment="1">
      <alignment horizontal="right" vertical="center"/>
    </xf>
    <xf numFmtId="41" fontId="7" fillId="0" borderId="12" xfId="5" applyNumberFormat="1" applyFont="1" applyFill="1" applyBorder="1" applyAlignment="1">
      <alignment horizontal="center" vertical="center" wrapText="1"/>
    </xf>
    <xf numFmtId="2" fontId="7" fillId="0" borderId="13" xfId="2" applyNumberFormat="1" applyFont="1" applyFill="1" applyBorder="1" applyAlignment="1">
      <alignment horizontal="center" vertical="center" wrapText="1"/>
    </xf>
    <xf numFmtId="9" fontId="6" fillId="0" borderId="12" xfId="2" applyNumberFormat="1" applyFont="1" applyFill="1" applyBorder="1" applyAlignment="1">
      <alignment horizontal="center" vertical="center" wrapText="1"/>
    </xf>
    <xf numFmtId="0" fontId="6" fillId="2" borderId="16" xfId="3" applyFont="1" applyFill="1" applyBorder="1" applyAlignment="1">
      <alignment horizontal="right" vertical="center"/>
    </xf>
    <xf numFmtId="9" fontId="15" fillId="0" borderId="12" xfId="5" applyNumberFormat="1" applyFont="1" applyFill="1" applyBorder="1" applyAlignment="1">
      <alignment horizontal="center" vertical="center" wrapText="1"/>
    </xf>
    <xf numFmtId="0" fontId="6" fillId="2" borderId="12" xfId="3" applyFont="1" applyFill="1" applyBorder="1" applyAlignment="1">
      <alignment horizontal="right" vertical="center" wrapText="1"/>
    </xf>
    <xf numFmtId="0" fontId="15" fillId="0" borderId="12" xfId="5" quotePrefix="1" applyFont="1" applyFill="1" applyBorder="1" applyAlignment="1">
      <alignment horizontal="left" vertical="center" wrapText="1"/>
    </xf>
    <xf numFmtId="0" fontId="6" fillId="0" borderId="12" xfId="0" applyFont="1" applyBorder="1" applyAlignment="1">
      <alignment horizontal="justify" vertical="center" wrapText="1"/>
    </xf>
    <xf numFmtId="41" fontId="25" fillId="0" borderId="12" xfId="0" applyNumberFormat="1"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2" xfId="0" applyFont="1" applyBorder="1" applyAlignment="1">
      <alignment horizontal="justify" vertical="center" wrapText="1"/>
    </xf>
    <xf numFmtId="0" fontId="6" fillId="2" borderId="12" xfId="0" applyFont="1" applyFill="1" applyBorder="1" applyAlignment="1">
      <alignment horizontal="justify" vertical="center" wrapText="1"/>
    </xf>
    <xf numFmtId="41" fontId="25" fillId="0" borderId="12" xfId="0" quotePrefix="1" applyNumberFormat="1" applyFont="1" applyFill="1" applyBorder="1" applyAlignment="1">
      <alignment horizontal="center" vertical="center" wrapText="1"/>
    </xf>
    <xf numFmtId="9" fontId="6" fillId="0" borderId="13" xfId="2" applyFont="1" applyFill="1" applyBorder="1" applyAlignment="1">
      <alignment horizontal="center" vertical="center" wrapText="1"/>
    </xf>
    <xf numFmtId="0" fontId="6" fillId="0" borderId="12" xfId="0" applyFont="1" applyFill="1" applyBorder="1" applyAlignment="1">
      <alignment horizontal="justify" vertical="center" wrapText="1"/>
    </xf>
    <xf numFmtId="0" fontId="25" fillId="0" borderId="12" xfId="0" quotePrefix="1" applyFont="1" applyFill="1" applyBorder="1" applyAlignment="1">
      <alignment horizontal="center" vertical="center" wrapText="1"/>
    </xf>
    <xf numFmtId="0" fontId="6" fillId="2" borderId="17" xfId="3" quotePrefix="1" applyFont="1" applyFill="1" applyBorder="1" applyAlignment="1">
      <alignment horizontal="right" vertical="center" wrapText="1"/>
    </xf>
    <xf numFmtId="9" fontId="6" fillId="0" borderId="17" xfId="2" applyFont="1" applyFill="1" applyBorder="1" applyAlignment="1">
      <alignment horizontal="center" vertical="center" wrapText="1"/>
    </xf>
    <xf numFmtId="2" fontId="6" fillId="0" borderId="17" xfId="2" applyNumberFormat="1" applyFont="1" applyFill="1" applyBorder="1" applyAlignment="1">
      <alignment horizontal="center" vertical="center" wrapText="1"/>
    </xf>
    <xf numFmtId="0" fontId="6" fillId="2" borderId="10" xfId="3" applyFont="1" applyFill="1" applyBorder="1" applyAlignment="1">
      <alignment horizontal="right" vertical="center" wrapText="1"/>
    </xf>
    <xf numFmtId="0" fontId="25" fillId="0" borderId="12" xfId="0" applyFont="1" applyBorder="1" applyAlignment="1">
      <alignment vertical="center" wrapText="1"/>
    </xf>
    <xf numFmtId="41" fontId="25" fillId="2" borderId="12" xfId="0" applyNumberFormat="1" applyFont="1" applyFill="1" applyBorder="1" applyAlignment="1">
      <alignment horizontal="center" vertical="center" wrapText="1"/>
    </xf>
    <xf numFmtId="0" fontId="25" fillId="0" borderId="12" xfId="0" applyFont="1" applyBorder="1" applyAlignment="1">
      <alignment horizontal="left" vertical="center" wrapText="1"/>
    </xf>
    <xf numFmtId="0" fontId="15" fillId="0" borderId="12" xfId="5" quotePrefix="1" applyFont="1" applyFill="1" applyBorder="1" applyAlignment="1">
      <alignment horizontal="center" vertical="center" wrapText="1"/>
    </xf>
    <xf numFmtId="0" fontId="15" fillId="0" borderId="12" xfId="7" applyFont="1" applyBorder="1" applyAlignment="1">
      <alignment horizontal="left" vertical="center" wrapText="1"/>
    </xf>
    <xf numFmtId="41" fontId="6" fillId="0" borderId="12" xfId="0" applyNumberFormat="1" applyFont="1" applyFill="1" applyBorder="1" applyAlignment="1">
      <alignment horizontal="center" vertical="center"/>
    </xf>
    <xf numFmtId="0" fontId="15" fillId="0" borderId="17" xfId="5" applyFont="1" applyFill="1" applyBorder="1" applyAlignment="1">
      <alignment horizontal="center" vertical="center" wrapText="1"/>
    </xf>
    <xf numFmtId="41" fontId="15" fillId="2" borderId="12" xfId="5" applyNumberFormat="1" applyFont="1" applyFill="1" applyBorder="1" applyAlignment="1">
      <alignment horizontal="center" vertical="center" wrapText="1"/>
    </xf>
    <xf numFmtId="41" fontId="6" fillId="0" borderId="12" xfId="0" applyNumberFormat="1" applyFont="1" applyFill="1" applyBorder="1" applyAlignment="1">
      <alignment horizontal="center" vertical="center" wrapText="1"/>
    </xf>
    <xf numFmtId="41" fontId="6" fillId="0" borderId="12" xfId="0" quotePrefix="1" applyNumberFormat="1" applyFont="1" applyFill="1" applyBorder="1" applyAlignment="1">
      <alignment horizontal="center" vertical="center"/>
    </xf>
    <xf numFmtId="0" fontId="15" fillId="0" borderId="12" xfId="4" quotePrefix="1" applyFont="1" applyFill="1" applyBorder="1" applyAlignment="1">
      <alignment horizontal="left" vertical="center" wrapText="1"/>
    </xf>
    <xf numFmtId="0" fontId="5" fillId="2" borderId="0" xfId="3" applyFont="1" applyFill="1" applyAlignment="1">
      <alignment horizontal="center" vertical="center"/>
    </xf>
    <xf numFmtId="0" fontId="18" fillId="2" borderId="1" xfId="3" applyFont="1" applyFill="1" applyBorder="1" applyAlignment="1">
      <alignment horizontal="center" vertical="center" wrapText="1"/>
    </xf>
    <xf numFmtId="0" fontId="18" fillId="2" borderId="5" xfId="3" applyFont="1" applyFill="1" applyBorder="1" applyAlignment="1">
      <alignment horizontal="center" vertical="center" wrapText="1"/>
    </xf>
    <xf numFmtId="0" fontId="18" fillId="2" borderId="2" xfId="3" applyFont="1" applyFill="1" applyBorder="1" applyAlignment="1">
      <alignment horizontal="center" vertical="center" wrapText="1"/>
    </xf>
    <xf numFmtId="0" fontId="18" fillId="2" borderId="9" xfId="3" applyFont="1" applyFill="1" applyBorder="1" applyAlignment="1">
      <alignment horizontal="center" vertical="center" wrapText="1"/>
    </xf>
    <xf numFmtId="0" fontId="18" fillId="2" borderId="27" xfId="3" applyFont="1" applyFill="1" applyBorder="1" applyAlignment="1">
      <alignment horizontal="center" vertical="center" wrapText="1"/>
    </xf>
    <xf numFmtId="0" fontId="18" fillId="2" borderId="10" xfId="3" applyFont="1" applyFill="1" applyBorder="1" applyAlignment="1">
      <alignment horizontal="center" vertical="center" wrapText="1"/>
    </xf>
    <xf numFmtId="0" fontId="18" fillId="2" borderId="3" xfId="3" applyFont="1" applyFill="1" applyBorder="1" applyAlignment="1">
      <alignment horizontal="center" vertical="center" wrapText="1"/>
    </xf>
    <xf numFmtId="0" fontId="18" fillId="2" borderId="11" xfId="3" applyFont="1" applyFill="1" applyBorder="1" applyAlignment="1">
      <alignment horizontal="center" vertical="center" wrapText="1"/>
    </xf>
    <xf numFmtId="0" fontId="18" fillId="3" borderId="3" xfId="3" applyFont="1" applyFill="1" applyBorder="1" applyAlignment="1">
      <alignment horizontal="center" vertical="center" wrapText="1"/>
    </xf>
    <xf numFmtId="0" fontId="18" fillId="3" borderId="11"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11" xfId="3" applyFont="1" applyFill="1" applyBorder="1" applyAlignment="1">
      <alignment horizontal="center" vertical="center" wrapText="1"/>
    </xf>
    <xf numFmtId="0" fontId="18" fillId="5" borderId="4" xfId="3" applyFont="1" applyFill="1" applyBorder="1" applyAlignment="1">
      <alignment horizontal="center" vertical="center" wrapText="1"/>
    </xf>
    <xf numFmtId="0" fontId="18" fillId="5" borderId="5" xfId="3" applyFont="1" applyFill="1" applyBorder="1" applyAlignment="1">
      <alignment horizontal="center" vertical="center" wrapText="1"/>
    </xf>
    <xf numFmtId="0" fontId="18" fillId="5" borderId="2" xfId="3" applyFont="1" applyFill="1" applyBorder="1" applyAlignment="1">
      <alignment horizontal="center" vertical="center" wrapText="1"/>
    </xf>
    <xf numFmtId="0" fontId="20" fillId="3" borderId="3" xfId="3" applyFont="1" applyFill="1" applyBorder="1" applyAlignment="1">
      <alignment horizontal="center" vertical="center" wrapText="1"/>
    </xf>
    <xf numFmtId="0" fontId="20" fillId="3" borderId="11"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7" xfId="3" applyFont="1" applyFill="1" applyBorder="1" applyAlignment="1">
      <alignment horizontal="center" vertical="center" wrapText="1"/>
    </xf>
    <xf numFmtId="9" fontId="16" fillId="2" borderId="18" xfId="3" applyNumberFormat="1" applyFont="1" applyFill="1" applyBorder="1" applyAlignment="1">
      <alignment horizontal="center" vertical="top" wrapText="1"/>
    </xf>
    <xf numFmtId="9" fontId="16" fillId="2" borderId="14" xfId="3" applyNumberFormat="1" applyFont="1" applyFill="1" applyBorder="1" applyAlignment="1">
      <alignment horizontal="center" vertical="top" wrapText="1"/>
    </xf>
    <xf numFmtId="9" fontId="6" fillId="2" borderId="21" xfId="2" applyFont="1" applyFill="1" applyBorder="1" applyAlignment="1">
      <alignment horizontal="center" vertical="top" wrapText="1"/>
    </xf>
    <xf numFmtId="9" fontId="6" fillId="2" borderId="25" xfId="2" applyFont="1" applyFill="1" applyBorder="1" applyAlignment="1">
      <alignment horizontal="center" vertical="top" wrapText="1"/>
    </xf>
    <xf numFmtId="9" fontId="6" fillId="2" borderId="26" xfId="2" applyFont="1" applyFill="1" applyBorder="1" applyAlignment="1">
      <alignment horizontal="center" vertical="top" wrapText="1"/>
    </xf>
    <xf numFmtId="0" fontId="18" fillId="2" borderId="8" xfId="3" applyFont="1" applyFill="1" applyBorder="1" applyAlignment="1">
      <alignment horizontal="center" vertical="center"/>
    </xf>
    <xf numFmtId="0" fontId="18" fillId="2" borderId="14" xfId="3" applyFont="1" applyFill="1" applyBorder="1" applyAlignment="1">
      <alignment horizontal="center" vertical="center"/>
    </xf>
    <xf numFmtId="0" fontId="8" fillId="2" borderId="15" xfId="3" applyFont="1" applyFill="1" applyBorder="1" applyAlignment="1">
      <alignment horizontal="center" vertical="center" wrapText="1"/>
    </xf>
    <xf numFmtId="0" fontId="8" fillId="2" borderId="28" xfId="3" applyFont="1" applyFill="1" applyBorder="1" applyAlignment="1">
      <alignment horizontal="center" vertical="center" wrapText="1"/>
    </xf>
    <xf numFmtId="0" fontId="8" fillId="2" borderId="16" xfId="3" applyFont="1" applyFill="1" applyBorder="1" applyAlignment="1">
      <alignment horizontal="center" vertical="center" wrapText="1"/>
    </xf>
    <xf numFmtId="4" fontId="13" fillId="2" borderId="18" xfId="3" applyNumberFormat="1" applyFont="1" applyFill="1" applyBorder="1" applyAlignment="1">
      <alignment horizontal="center" vertical="top" wrapText="1"/>
    </xf>
    <xf numFmtId="4" fontId="13" fillId="2" borderId="14" xfId="3" applyNumberFormat="1" applyFont="1" applyFill="1" applyBorder="1" applyAlignment="1">
      <alignment horizontal="center" vertical="top" wrapText="1"/>
    </xf>
    <xf numFmtId="4" fontId="13" fillId="2" borderId="24" xfId="3" applyNumberFormat="1" applyFont="1" applyFill="1" applyBorder="1" applyAlignment="1">
      <alignment horizontal="center" vertical="top" wrapText="1"/>
    </xf>
    <xf numFmtId="9" fontId="6" fillId="2" borderId="18" xfId="2" applyFont="1" applyFill="1" applyBorder="1" applyAlignment="1">
      <alignment horizontal="center" vertical="top" wrapText="1"/>
    </xf>
    <xf numFmtId="9" fontId="6" fillId="2" borderId="14" xfId="2" applyFont="1" applyFill="1" applyBorder="1" applyAlignment="1">
      <alignment horizontal="center" vertical="top" wrapText="1"/>
    </xf>
    <xf numFmtId="0" fontId="18" fillId="0" borderId="3"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4" xfId="3" applyFont="1" applyFill="1" applyBorder="1" applyAlignment="1">
      <alignment horizontal="center" vertical="center" wrapText="1"/>
    </xf>
    <xf numFmtId="0" fontId="18" fillId="0" borderId="5"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20" fillId="0" borderId="3" xfId="3" applyFont="1" applyFill="1" applyBorder="1" applyAlignment="1">
      <alignment horizontal="center" vertical="center" wrapText="1"/>
    </xf>
    <xf numFmtId="0" fontId="20" fillId="0" borderId="11" xfId="3" applyFont="1" applyFill="1" applyBorder="1" applyAlignment="1">
      <alignment horizontal="center" vertical="center" wrapText="1"/>
    </xf>
    <xf numFmtId="0" fontId="20" fillId="0" borderId="6" xfId="3" applyFont="1" applyFill="1" applyBorder="1" applyAlignment="1">
      <alignment horizontal="center" vertical="center" wrapText="1"/>
    </xf>
    <xf numFmtId="0" fontId="20" fillId="0" borderId="7" xfId="3" applyFont="1" applyFill="1" applyBorder="1" applyAlignment="1">
      <alignment horizontal="center" vertical="center" wrapText="1"/>
    </xf>
    <xf numFmtId="9" fontId="10" fillId="0" borderId="21" xfId="3" applyNumberFormat="1" applyFont="1" applyFill="1" applyBorder="1" applyAlignment="1">
      <alignment horizontal="center" vertical="center"/>
    </xf>
    <xf numFmtId="9" fontId="7" fillId="0" borderId="21" xfId="3" applyNumberFormat="1" applyFont="1" applyFill="1" applyBorder="1" applyAlignment="1">
      <alignment horizontal="center" vertical="center" wrapText="1"/>
    </xf>
    <xf numFmtId="0" fontId="14" fillId="0" borderId="24" xfId="3" applyFont="1" applyFill="1" applyBorder="1" applyAlignment="1">
      <alignment horizontal="left" vertical="center" wrapText="1"/>
    </xf>
    <xf numFmtId="0" fontId="7" fillId="0" borderId="21" xfId="3" applyFont="1" applyFill="1" applyBorder="1" applyAlignment="1">
      <alignment horizontal="center" vertical="center"/>
    </xf>
    <xf numFmtId="9" fontId="8" fillId="0" borderId="21" xfId="3" applyNumberFormat="1" applyFont="1" applyFill="1" applyBorder="1" applyAlignment="1">
      <alignment horizontal="center" vertical="center"/>
    </xf>
    <xf numFmtId="9" fontId="6" fillId="0" borderId="21" xfId="2" applyFont="1" applyFill="1" applyBorder="1" applyAlignment="1">
      <alignment horizontal="center" vertical="center" wrapText="1"/>
    </xf>
    <xf numFmtId="9" fontId="13" fillId="0" borderId="21" xfId="3" applyNumberFormat="1" applyFont="1" applyFill="1" applyBorder="1" applyAlignment="1">
      <alignment horizontal="center" vertical="center" wrapText="1"/>
    </xf>
    <xf numFmtId="4" fontId="13" fillId="0" borderId="21" xfId="3" applyNumberFormat="1" applyFont="1" applyFill="1" applyBorder="1" applyAlignment="1">
      <alignment horizontal="center" vertical="center"/>
    </xf>
    <xf numFmtId="10" fontId="8" fillId="0" borderId="21" xfId="3" applyNumberFormat="1" applyFont="1" applyFill="1" applyBorder="1" applyAlignment="1">
      <alignment horizontal="center" vertical="center"/>
    </xf>
    <xf numFmtId="10" fontId="10" fillId="0" borderId="21" xfId="2" applyNumberFormat="1" applyFont="1" applyFill="1" applyBorder="1" applyAlignment="1">
      <alignment horizontal="center" vertical="center"/>
    </xf>
    <xf numFmtId="4" fontId="7" fillId="0" borderId="21" xfId="3" applyNumberFormat="1" applyFont="1" applyFill="1" applyBorder="1" applyAlignment="1">
      <alignment horizontal="center" vertical="center"/>
    </xf>
    <xf numFmtId="43" fontId="13" fillId="0" borderId="21" xfId="1" applyFont="1" applyFill="1" applyBorder="1" applyAlignment="1">
      <alignment horizontal="center" vertical="center"/>
    </xf>
    <xf numFmtId="10" fontId="17" fillId="0" borderId="21" xfId="2" applyNumberFormat="1" applyFont="1" applyFill="1" applyBorder="1" applyAlignment="1">
      <alignment horizontal="center" vertical="center"/>
    </xf>
    <xf numFmtId="10" fontId="13" fillId="0" borderId="21" xfId="2" applyNumberFormat="1" applyFont="1" applyFill="1" applyBorder="1" applyAlignment="1">
      <alignment horizontal="center" vertical="center"/>
    </xf>
    <xf numFmtId="9" fontId="11" fillId="0" borderId="24" xfId="4" applyNumberFormat="1" applyFont="1" applyFill="1" applyBorder="1" applyAlignment="1">
      <alignment horizontal="center" vertical="center" wrapText="1"/>
    </xf>
    <xf numFmtId="9" fontId="11" fillId="0" borderId="23" xfId="4" applyNumberFormat="1" applyFont="1" applyFill="1" applyBorder="1" applyAlignment="1">
      <alignment horizontal="center" vertical="center" wrapText="1"/>
    </xf>
    <xf numFmtId="9" fontId="6" fillId="0" borderId="24" xfId="2" applyFont="1" applyFill="1" applyBorder="1" applyAlignment="1">
      <alignment horizontal="center" vertical="center" wrapText="1"/>
    </xf>
    <xf numFmtId="9" fontId="6" fillId="0" borderId="23" xfId="2" applyFont="1" applyFill="1" applyBorder="1" applyAlignment="1">
      <alignment horizontal="center" vertical="center" wrapText="1"/>
    </xf>
    <xf numFmtId="9" fontId="8" fillId="0" borderId="14" xfId="2" applyFont="1" applyFill="1" applyBorder="1" applyAlignment="1">
      <alignment horizontal="center" vertical="center" wrapText="1"/>
    </xf>
    <xf numFmtId="9" fontId="6" fillId="0" borderId="24" xfId="2" applyFont="1" applyFill="1" applyBorder="1" applyAlignment="1">
      <alignment vertical="center" wrapText="1"/>
    </xf>
    <xf numFmtId="9" fontId="12" fillId="0" borderId="21" xfId="2" applyFont="1" applyFill="1" applyBorder="1" applyAlignment="1">
      <alignment horizontal="center" vertical="center" wrapText="1"/>
    </xf>
    <xf numFmtId="4" fontId="13" fillId="0" borderId="24" xfId="3" applyNumberFormat="1" applyFont="1" applyFill="1" applyBorder="1" applyAlignment="1">
      <alignment vertical="center" wrapText="1"/>
    </xf>
    <xf numFmtId="9" fontId="13" fillId="0" borderId="21" xfId="2" applyFont="1" applyFill="1" applyBorder="1" applyAlignment="1">
      <alignment horizontal="center" vertical="center"/>
    </xf>
    <xf numFmtId="0" fontId="13" fillId="0" borderId="21" xfId="3" quotePrefix="1" applyFont="1" applyFill="1" applyBorder="1" applyAlignment="1">
      <alignment horizontal="center" vertical="center"/>
    </xf>
    <xf numFmtId="10" fontId="28" fillId="0" borderId="21" xfId="2" applyNumberFormat="1" applyFont="1" applyFill="1" applyBorder="1" applyAlignment="1">
      <alignment horizontal="center" vertical="center" wrapText="1"/>
    </xf>
    <xf numFmtId="10" fontId="10" fillId="0" borderId="21" xfId="2" applyNumberFormat="1" applyFont="1" applyFill="1" applyBorder="1" applyAlignment="1">
      <alignment horizontal="center" vertical="center" wrapText="1"/>
    </xf>
    <xf numFmtId="9" fontId="16" fillId="0" borderId="21" xfId="2" applyFont="1" applyFill="1" applyBorder="1" applyAlignment="1">
      <alignment horizontal="left" vertical="center" wrapText="1"/>
    </xf>
    <xf numFmtId="9" fontId="7" fillId="0" borderId="21" xfId="2" applyFont="1" applyFill="1" applyBorder="1" applyAlignment="1">
      <alignment horizontal="center" vertical="center" wrapText="1"/>
    </xf>
    <xf numFmtId="0" fontId="7" fillId="0" borderId="18" xfId="3" applyFont="1" applyFill="1" applyBorder="1" applyAlignment="1">
      <alignment horizontal="center" vertical="center"/>
    </xf>
    <xf numFmtId="10" fontId="10" fillId="0" borderId="24" xfId="2" applyNumberFormat="1" applyFont="1" applyFill="1" applyBorder="1" applyAlignment="1">
      <alignment horizontal="center" vertical="center" wrapText="1"/>
    </xf>
    <xf numFmtId="9" fontId="10" fillId="0" borderId="24" xfId="2" applyFont="1" applyFill="1" applyBorder="1" applyAlignment="1">
      <alignment horizontal="center" vertical="center" wrapText="1"/>
    </xf>
    <xf numFmtId="9" fontId="11" fillId="0" borderId="24" xfId="2" applyFont="1" applyFill="1" applyBorder="1" applyAlignment="1">
      <alignment horizontal="center" vertical="center" wrapText="1"/>
    </xf>
    <xf numFmtId="9" fontId="6" fillId="0" borderId="26" xfId="2" applyFont="1" applyFill="1" applyBorder="1" applyAlignment="1">
      <alignment vertical="center" wrapText="1"/>
    </xf>
    <xf numFmtId="0" fontId="13" fillId="0" borderId="21" xfId="3" applyFont="1" applyFill="1" applyBorder="1" applyAlignment="1">
      <alignment horizontal="center" vertical="center" wrapText="1"/>
    </xf>
    <xf numFmtId="9" fontId="8" fillId="0" borderId="18" xfId="3" applyNumberFormat="1" applyFont="1" applyFill="1" applyBorder="1" applyAlignment="1">
      <alignment horizontal="center" vertical="center"/>
    </xf>
    <xf numFmtId="9" fontId="8" fillId="0" borderId="24" xfId="3" applyNumberFormat="1" applyFont="1" applyFill="1" applyBorder="1" applyAlignment="1">
      <alignment horizontal="center" vertical="center"/>
    </xf>
    <xf numFmtId="10" fontId="10" fillId="0" borderId="24" xfId="3" applyNumberFormat="1" applyFont="1" applyFill="1" applyBorder="1" applyAlignment="1">
      <alignment horizontal="center" vertical="center"/>
    </xf>
    <xf numFmtId="0" fontId="7" fillId="0" borderId="24" xfId="3" applyFont="1" applyFill="1" applyBorder="1" applyAlignment="1">
      <alignment horizontal="center" vertical="center"/>
    </xf>
    <xf numFmtId="0" fontId="7" fillId="0" borderId="14" xfId="3" applyFont="1" applyFill="1" applyBorder="1" applyAlignment="1">
      <alignment horizontal="center" vertical="center"/>
    </xf>
    <xf numFmtId="9" fontId="16" fillId="0" borderId="24" xfId="3" applyNumberFormat="1" applyFont="1" applyFill="1" applyBorder="1" applyAlignment="1">
      <alignment vertical="center" wrapText="1"/>
    </xf>
  </cellXfs>
  <cellStyles count="11">
    <cellStyle name="Comma" xfId="1" builtinId="3"/>
    <cellStyle name="Normal" xfId="0" builtinId="0"/>
    <cellStyle name="Normal 2" xfId="6"/>
    <cellStyle name="Normal 2 2" xfId="4"/>
    <cellStyle name="Normal 2 3" xfId="9"/>
    <cellStyle name="Normal 3" xfId="5"/>
    <cellStyle name="Normal 3 2" xfId="7"/>
    <cellStyle name="Normal 3 2 2" xfId="8"/>
    <cellStyle name="Normal 7" xfId="3"/>
    <cellStyle name="Percent" xfId="2" builtinId="5"/>
    <cellStyle name="Percent 2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CW103"/>
  <sheetViews>
    <sheetView view="pageBreakPreview" zoomScale="80" zoomScaleSheetLayoutView="80" workbookViewId="0">
      <selection activeCell="B5" sqref="B5:O5"/>
    </sheetView>
  </sheetViews>
  <sheetFormatPr defaultRowHeight="14.25"/>
  <cols>
    <col min="1" max="1" width="9.140625" style="1"/>
    <col min="2" max="2" width="5.42578125" style="1" customWidth="1"/>
    <col min="3" max="4" width="4.5703125" style="1" customWidth="1"/>
    <col min="5" max="5" width="5" style="1" customWidth="1"/>
    <col min="6" max="6" width="33.28515625" style="2" customWidth="1"/>
    <col min="7" max="7" width="32.140625" style="2" customWidth="1"/>
    <col min="8" max="8" width="16" style="96" customWidth="1"/>
    <col min="9" max="9" width="16.28515625" style="104" customWidth="1"/>
    <col min="10" max="10" width="16.28515625" style="118" customWidth="1"/>
    <col min="11" max="11" width="16.28515625" style="132" customWidth="1"/>
    <col min="12" max="12" width="12.140625" style="132" customWidth="1"/>
    <col min="13" max="13" width="18.85546875" style="145" customWidth="1"/>
    <col min="14" max="14" width="18.28515625" style="145" customWidth="1"/>
    <col min="15" max="15" width="12.85546875" style="145" customWidth="1"/>
    <col min="16" max="16" width="13.7109375" style="1" customWidth="1"/>
    <col min="17" max="16384" width="9.140625" style="1"/>
  </cols>
  <sheetData>
    <row r="2" spans="2:16" ht="18">
      <c r="B2" s="394" t="s">
        <v>0</v>
      </c>
      <c r="C2" s="394"/>
      <c r="D2" s="394"/>
      <c r="E2" s="394"/>
      <c r="F2" s="394"/>
      <c r="G2" s="394"/>
      <c r="H2" s="394"/>
      <c r="I2" s="394"/>
      <c r="J2" s="394"/>
      <c r="K2" s="394"/>
      <c r="L2" s="394"/>
      <c r="M2" s="394"/>
      <c r="N2" s="394"/>
      <c r="O2" s="394"/>
    </row>
    <row r="3" spans="2:16" ht="18">
      <c r="B3" s="394" t="s">
        <v>22</v>
      </c>
      <c r="C3" s="394"/>
      <c r="D3" s="394"/>
      <c r="E3" s="394"/>
      <c r="F3" s="394"/>
      <c r="G3" s="394"/>
      <c r="H3" s="394"/>
      <c r="I3" s="394"/>
      <c r="J3" s="394"/>
      <c r="K3" s="394"/>
      <c r="L3" s="394"/>
      <c r="M3" s="394"/>
      <c r="N3" s="394"/>
      <c r="O3" s="394"/>
    </row>
    <row r="4" spans="2:16" ht="18">
      <c r="B4" s="394" t="s">
        <v>23</v>
      </c>
      <c r="C4" s="394"/>
      <c r="D4" s="394"/>
      <c r="E4" s="394"/>
      <c r="F4" s="394"/>
      <c r="G4" s="394"/>
      <c r="H4" s="394"/>
      <c r="I4" s="394"/>
      <c r="J4" s="394"/>
      <c r="K4" s="394"/>
      <c r="L4" s="394"/>
      <c r="M4" s="394"/>
      <c r="N4" s="394"/>
      <c r="O4" s="394"/>
    </row>
    <row r="5" spans="2:16" ht="18.75" thickBot="1">
      <c r="B5" s="394"/>
      <c r="C5" s="394"/>
      <c r="D5" s="394"/>
      <c r="E5" s="394"/>
      <c r="F5" s="394"/>
      <c r="G5" s="394"/>
      <c r="H5" s="394"/>
      <c r="I5" s="394"/>
      <c r="J5" s="394"/>
      <c r="K5" s="394"/>
      <c r="L5" s="394"/>
      <c r="M5" s="394"/>
      <c r="N5" s="394"/>
      <c r="O5" s="394"/>
    </row>
    <row r="6" spans="2:16" s="74" customFormat="1" ht="64.5" customHeight="1">
      <c r="B6" s="395" t="s">
        <v>1</v>
      </c>
      <c r="C6" s="396"/>
      <c r="D6" s="396"/>
      <c r="E6" s="397"/>
      <c r="F6" s="401" t="s">
        <v>2</v>
      </c>
      <c r="G6" s="401" t="s">
        <v>21</v>
      </c>
      <c r="H6" s="403" t="s">
        <v>24</v>
      </c>
      <c r="I6" s="405" t="s">
        <v>25</v>
      </c>
      <c r="J6" s="407" t="s">
        <v>26</v>
      </c>
      <c r="K6" s="408"/>
      <c r="L6" s="409"/>
      <c r="M6" s="410" t="s">
        <v>29</v>
      </c>
      <c r="N6" s="412" t="s">
        <v>30</v>
      </c>
      <c r="O6" s="413"/>
      <c r="P6" s="419" t="s">
        <v>3</v>
      </c>
    </row>
    <row r="7" spans="2:16" s="74" customFormat="1" ht="99" customHeight="1">
      <c r="B7" s="398"/>
      <c r="C7" s="399"/>
      <c r="D7" s="399"/>
      <c r="E7" s="400"/>
      <c r="F7" s="402"/>
      <c r="G7" s="402"/>
      <c r="H7" s="404"/>
      <c r="I7" s="406"/>
      <c r="J7" s="105" t="s">
        <v>27</v>
      </c>
      <c r="K7" s="119" t="s">
        <v>28</v>
      </c>
      <c r="L7" s="119" t="s">
        <v>4</v>
      </c>
      <c r="M7" s="411"/>
      <c r="N7" s="133" t="s">
        <v>31</v>
      </c>
      <c r="O7" s="133" t="s">
        <v>5</v>
      </c>
      <c r="P7" s="420"/>
    </row>
    <row r="8" spans="2:16" ht="24" customHeight="1">
      <c r="B8" s="421">
        <v>1</v>
      </c>
      <c r="C8" s="422"/>
      <c r="D8" s="422"/>
      <c r="E8" s="423"/>
      <c r="F8" s="3">
        <v>2</v>
      </c>
      <c r="G8" s="3">
        <v>3</v>
      </c>
      <c r="H8" s="88">
        <v>4</v>
      </c>
      <c r="I8" s="97">
        <v>5</v>
      </c>
      <c r="J8" s="106" t="s">
        <v>6</v>
      </c>
      <c r="K8" s="120" t="s">
        <v>7</v>
      </c>
      <c r="L8" s="121" t="s">
        <v>8</v>
      </c>
      <c r="M8" s="134">
        <v>9</v>
      </c>
      <c r="N8" s="134" t="s">
        <v>9</v>
      </c>
      <c r="O8" s="134" t="s">
        <v>10</v>
      </c>
      <c r="P8" s="4">
        <v>12</v>
      </c>
    </row>
    <row r="9" spans="2:16" ht="24.75" customHeight="1">
      <c r="B9" s="82">
        <v>1</v>
      </c>
      <c r="C9" s="81"/>
      <c r="D9" s="81"/>
      <c r="E9" s="81"/>
      <c r="F9" s="6" t="s">
        <v>11</v>
      </c>
      <c r="G9" s="7"/>
      <c r="H9" s="89"/>
      <c r="I9" s="98"/>
      <c r="J9" s="107"/>
      <c r="K9" s="122"/>
      <c r="L9" s="122"/>
      <c r="M9" s="135"/>
      <c r="N9" s="136"/>
      <c r="O9" s="136"/>
      <c r="P9" s="8"/>
    </row>
    <row r="10" spans="2:16" ht="73.5" customHeight="1">
      <c r="B10" s="82" t="s">
        <v>32</v>
      </c>
      <c r="C10" s="81"/>
      <c r="D10" s="81"/>
      <c r="E10" s="81"/>
      <c r="F10" s="9" t="s">
        <v>33</v>
      </c>
      <c r="G10" s="7"/>
      <c r="H10" s="89"/>
      <c r="I10" s="99"/>
      <c r="J10" s="108"/>
      <c r="K10" s="122"/>
      <c r="L10" s="122"/>
      <c r="M10" s="137"/>
      <c r="N10" s="136"/>
      <c r="O10" s="136"/>
      <c r="P10" s="8"/>
    </row>
    <row r="11" spans="2:16" ht="30">
      <c r="B11" s="5" t="s">
        <v>32</v>
      </c>
      <c r="C11" s="81">
        <v>5</v>
      </c>
      <c r="D11" s="81"/>
      <c r="E11" s="81"/>
      <c r="F11" s="9" t="s">
        <v>34</v>
      </c>
      <c r="G11" s="7"/>
      <c r="H11" s="89"/>
      <c r="I11" s="99"/>
      <c r="J11" s="109"/>
      <c r="K11" s="123"/>
      <c r="L11" s="124"/>
      <c r="M11" s="135"/>
      <c r="N11" s="136"/>
      <c r="O11" s="138"/>
      <c r="P11" s="10"/>
    </row>
    <row r="12" spans="2:16" ht="15">
      <c r="B12" s="5"/>
      <c r="C12" s="81"/>
      <c r="D12" s="81"/>
      <c r="E12" s="81"/>
      <c r="F12" s="9"/>
      <c r="G12" s="7"/>
      <c r="H12" s="89"/>
      <c r="I12" s="98"/>
      <c r="J12" s="110"/>
      <c r="K12" s="122"/>
      <c r="L12" s="122"/>
      <c r="M12" s="135"/>
      <c r="N12" s="136"/>
      <c r="O12" s="136"/>
      <c r="P12" s="8"/>
    </row>
    <row r="13" spans="2:16" ht="45">
      <c r="B13" s="59" t="s">
        <v>32</v>
      </c>
      <c r="C13" s="83" t="s">
        <v>35</v>
      </c>
      <c r="D13" s="78" t="s">
        <v>36</v>
      </c>
      <c r="E13" s="11"/>
      <c r="F13" s="12" t="s">
        <v>12</v>
      </c>
      <c r="G13" s="84" t="s">
        <v>37</v>
      </c>
      <c r="H13" s="90">
        <v>1</v>
      </c>
      <c r="I13" s="100">
        <v>1</v>
      </c>
      <c r="J13" s="111">
        <v>1</v>
      </c>
      <c r="K13" s="125">
        <v>1</v>
      </c>
      <c r="L13" s="125">
        <f t="shared" ref="L13" si="0">+K13/J13</f>
        <v>1</v>
      </c>
      <c r="M13" s="139">
        <v>1</v>
      </c>
      <c r="N13" s="92">
        <v>1</v>
      </c>
      <c r="O13" s="92">
        <v>1</v>
      </c>
      <c r="P13" s="13"/>
    </row>
    <row r="14" spans="2:16" ht="39" customHeight="1">
      <c r="B14" s="19" t="s">
        <v>32</v>
      </c>
      <c r="C14" s="25" t="s">
        <v>35</v>
      </c>
      <c r="D14" s="25" t="s">
        <v>36</v>
      </c>
      <c r="E14" s="14" t="s">
        <v>36</v>
      </c>
      <c r="F14" s="15" t="s">
        <v>40</v>
      </c>
      <c r="G14" s="85" t="s">
        <v>41</v>
      </c>
      <c r="H14" s="91" t="s">
        <v>18</v>
      </c>
      <c r="I14" s="101" t="s">
        <v>18</v>
      </c>
      <c r="J14" s="112" t="s">
        <v>18</v>
      </c>
      <c r="K14" s="126" t="s">
        <v>18</v>
      </c>
      <c r="L14" s="126">
        <v>1</v>
      </c>
      <c r="M14" s="140" t="s">
        <v>18</v>
      </c>
      <c r="N14" s="140" t="s">
        <v>18</v>
      </c>
      <c r="O14" s="140">
        <v>1</v>
      </c>
      <c r="P14" s="16"/>
    </row>
    <row r="15" spans="2:16" ht="31.5" customHeight="1">
      <c r="B15" s="19" t="s">
        <v>32</v>
      </c>
      <c r="C15" s="149" t="s">
        <v>35</v>
      </c>
      <c r="D15" s="25" t="s">
        <v>36</v>
      </c>
      <c r="E15" s="14" t="s">
        <v>42</v>
      </c>
      <c r="F15" s="77" t="s">
        <v>43</v>
      </c>
      <c r="G15" s="85" t="s">
        <v>44</v>
      </c>
      <c r="H15" s="91" t="s">
        <v>18</v>
      </c>
      <c r="I15" s="101" t="s">
        <v>18</v>
      </c>
      <c r="J15" s="112" t="s">
        <v>18</v>
      </c>
      <c r="K15" s="126" t="s">
        <v>18</v>
      </c>
      <c r="L15" s="126">
        <v>1</v>
      </c>
      <c r="M15" s="140" t="s">
        <v>18</v>
      </c>
      <c r="N15" s="140" t="s">
        <v>18</v>
      </c>
      <c r="O15" s="140">
        <v>1</v>
      </c>
      <c r="P15" s="16"/>
    </row>
    <row r="16" spans="2:16" ht="49.5" customHeight="1">
      <c r="B16" s="19" t="s">
        <v>32</v>
      </c>
      <c r="C16" s="25" t="s">
        <v>35</v>
      </c>
      <c r="D16" s="25" t="s">
        <v>36</v>
      </c>
      <c r="E16" s="14" t="s">
        <v>38</v>
      </c>
      <c r="F16" s="86" t="s">
        <v>46</v>
      </c>
      <c r="G16" s="87" t="s">
        <v>47</v>
      </c>
      <c r="H16" s="146" t="s">
        <v>48</v>
      </c>
      <c r="I16" s="147" t="s">
        <v>49</v>
      </c>
      <c r="J16" s="148" t="s">
        <v>50</v>
      </c>
      <c r="K16" s="148" t="s">
        <v>50</v>
      </c>
      <c r="L16" s="126">
        <v>1</v>
      </c>
      <c r="M16" s="146" t="s">
        <v>48</v>
      </c>
      <c r="N16" s="146" t="s">
        <v>48</v>
      </c>
      <c r="O16" s="140">
        <v>1</v>
      </c>
      <c r="P16" s="16"/>
    </row>
    <row r="17" spans="2:101" ht="36.75" customHeight="1">
      <c r="B17" s="19" t="s">
        <v>32</v>
      </c>
      <c r="C17" s="149" t="s">
        <v>35</v>
      </c>
      <c r="D17" s="25" t="s">
        <v>36</v>
      </c>
      <c r="E17" s="14" t="s">
        <v>53</v>
      </c>
      <c r="F17" s="87" t="s">
        <v>51</v>
      </c>
      <c r="G17" s="85" t="s">
        <v>52</v>
      </c>
      <c r="H17" s="146" t="s">
        <v>54</v>
      </c>
      <c r="I17" s="147" t="s">
        <v>20</v>
      </c>
      <c r="J17" s="148" t="s">
        <v>55</v>
      </c>
      <c r="K17" s="148" t="s">
        <v>55</v>
      </c>
      <c r="L17" s="126">
        <v>1</v>
      </c>
      <c r="M17" s="146" t="s">
        <v>54</v>
      </c>
      <c r="N17" s="146" t="s">
        <v>54</v>
      </c>
      <c r="O17" s="140">
        <v>1</v>
      </c>
      <c r="P17" s="16"/>
    </row>
    <row r="18" spans="2:101" ht="32.25" customHeight="1">
      <c r="B18" s="19" t="s">
        <v>32</v>
      </c>
      <c r="C18" s="25" t="s">
        <v>35</v>
      </c>
      <c r="D18" s="25" t="s">
        <v>36</v>
      </c>
      <c r="E18" s="14">
        <v>10</v>
      </c>
      <c r="F18" s="87" t="s">
        <v>56</v>
      </c>
      <c r="G18" s="85" t="s">
        <v>57</v>
      </c>
      <c r="H18" s="146" t="s">
        <v>20</v>
      </c>
      <c r="I18" s="146" t="s">
        <v>20</v>
      </c>
      <c r="J18" s="146" t="s">
        <v>20</v>
      </c>
      <c r="K18" s="146" t="s">
        <v>20</v>
      </c>
      <c r="L18" s="126">
        <v>1</v>
      </c>
      <c r="M18" s="146" t="s">
        <v>20</v>
      </c>
      <c r="N18" s="146" t="s">
        <v>20</v>
      </c>
      <c r="O18" s="140">
        <v>1</v>
      </c>
      <c r="P18" s="16"/>
    </row>
    <row r="19" spans="2:101" ht="37.5" customHeight="1">
      <c r="B19" s="19" t="s">
        <v>32</v>
      </c>
      <c r="C19" s="149" t="s">
        <v>35</v>
      </c>
      <c r="D19" s="25" t="s">
        <v>36</v>
      </c>
      <c r="E19" s="14">
        <v>11</v>
      </c>
      <c r="F19" s="87" t="s">
        <v>58</v>
      </c>
      <c r="G19" s="85" t="s">
        <v>59</v>
      </c>
      <c r="H19" s="146" t="s">
        <v>20</v>
      </c>
      <c r="I19" s="146" t="s">
        <v>20</v>
      </c>
      <c r="J19" s="146" t="s">
        <v>20</v>
      </c>
      <c r="K19" s="146" t="s">
        <v>20</v>
      </c>
      <c r="L19" s="126">
        <v>1</v>
      </c>
      <c r="M19" s="146" t="s">
        <v>20</v>
      </c>
      <c r="N19" s="146" t="s">
        <v>20</v>
      </c>
      <c r="O19" s="140">
        <v>1</v>
      </c>
      <c r="P19" s="16"/>
    </row>
    <row r="20" spans="2:101" ht="50.25" customHeight="1">
      <c r="B20" s="19" t="s">
        <v>32</v>
      </c>
      <c r="C20" s="25" t="s">
        <v>35</v>
      </c>
      <c r="D20" s="25" t="s">
        <v>36</v>
      </c>
      <c r="E20" s="14">
        <v>12</v>
      </c>
      <c r="F20" s="150" t="s">
        <v>60</v>
      </c>
      <c r="G20" s="87" t="s">
        <v>61</v>
      </c>
      <c r="H20" s="146" t="s">
        <v>54</v>
      </c>
      <c r="I20" s="147" t="s">
        <v>20</v>
      </c>
      <c r="J20" s="148" t="s">
        <v>55</v>
      </c>
      <c r="K20" s="148" t="s">
        <v>55</v>
      </c>
      <c r="L20" s="126">
        <v>1</v>
      </c>
      <c r="M20" s="146" t="s">
        <v>54</v>
      </c>
      <c r="N20" s="146" t="s">
        <v>54</v>
      </c>
      <c r="O20" s="152">
        <v>1</v>
      </c>
      <c r="P20" s="73"/>
    </row>
    <row r="21" spans="2:101" ht="35.25" customHeight="1">
      <c r="B21" s="19" t="s">
        <v>32</v>
      </c>
      <c r="C21" s="25" t="s">
        <v>35</v>
      </c>
      <c r="D21" s="25" t="s">
        <v>36</v>
      </c>
      <c r="E21" s="20">
        <v>14</v>
      </c>
      <c r="F21" s="150" t="s">
        <v>13</v>
      </c>
      <c r="G21" s="87" t="s">
        <v>62</v>
      </c>
      <c r="H21" s="146" t="s">
        <v>20</v>
      </c>
      <c r="I21" s="102" t="s">
        <v>17</v>
      </c>
      <c r="J21" s="114" t="s">
        <v>17</v>
      </c>
      <c r="K21" s="127" t="s">
        <v>17</v>
      </c>
      <c r="L21" s="127" t="s">
        <v>17</v>
      </c>
      <c r="M21" s="94" t="s">
        <v>18</v>
      </c>
      <c r="N21" s="141" t="s">
        <v>18</v>
      </c>
      <c r="O21" s="151">
        <v>1</v>
      </c>
      <c r="P21" s="22"/>
    </row>
    <row r="22" spans="2:101" ht="41.25" customHeight="1">
      <c r="B22" s="19" t="s">
        <v>32</v>
      </c>
      <c r="C22" s="149" t="s">
        <v>35</v>
      </c>
      <c r="D22" s="25" t="s">
        <v>36</v>
      </c>
      <c r="E22" s="21">
        <v>15</v>
      </c>
      <c r="F22" s="87" t="s">
        <v>63</v>
      </c>
      <c r="G22" s="85" t="s">
        <v>64</v>
      </c>
      <c r="H22" s="146" t="s">
        <v>65</v>
      </c>
      <c r="I22" s="147" t="s">
        <v>66</v>
      </c>
      <c r="J22" s="148" t="s">
        <v>65</v>
      </c>
      <c r="K22" s="148" t="s">
        <v>65</v>
      </c>
      <c r="L22" s="115">
        <v>1</v>
      </c>
      <c r="M22" s="152" t="s">
        <v>67</v>
      </c>
      <c r="N22" s="151" t="s">
        <v>67</v>
      </c>
      <c r="O22" s="151">
        <v>1</v>
      </c>
      <c r="P22" s="13"/>
    </row>
    <row r="23" spans="2:101" ht="40.5" customHeight="1">
      <c r="B23" s="19" t="s">
        <v>32</v>
      </c>
      <c r="C23" s="25" t="s">
        <v>35</v>
      </c>
      <c r="D23" s="25" t="s">
        <v>36</v>
      </c>
      <c r="E23" s="25">
        <v>17</v>
      </c>
      <c r="F23" s="87" t="s">
        <v>68</v>
      </c>
      <c r="G23" s="85" t="s">
        <v>69</v>
      </c>
      <c r="H23" s="146" t="s">
        <v>20</v>
      </c>
      <c r="I23" s="153" t="s">
        <v>18</v>
      </c>
      <c r="J23" s="115" t="s">
        <v>18</v>
      </c>
      <c r="K23" s="154" t="s">
        <v>18</v>
      </c>
      <c r="L23" s="154">
        <v>1</v>
      </c>
      <c r="M23" s="155" t="s">
        <v>18</v>
      </c>
      <c r="N23" s="91" t="s">
        <v>18</v>
      </c>
      <c r="O23" s="91">
        <v>1</v>
      </c>
      <c r="P23" s="26"/>
    </row>
    <row r="24" spans="2:101" ht="37.5" customHeight="1">
      <c r="B24" s="19" t="s">
        <v>32</v>
      </c>
      <c r="C24" s="149" t="s">
        <v>35</v>
      </c>
      <c r="D24" s="25" t="s">
        <v>36</v>
      </c>
      <c r="E24" s="25">
        <v>18</v>
      </c>
      <c r="F24" s="87" t="s">
        <v>70</v>
      </c>
      <c r="G24" s="85" t="s">
        <v>71</v>
      </c>
      <c r="H24" s="146" t="s">
        <v>20</v>
      </c>
      <c r="I24" s="153" t="s">
        <v>18</v>
      </c>
      <c r="J24" s="115" t="s">
        <v>18</v>
      </c>
      <c r="K24" s="154" t="s">
        <v>18</v>
      </c>
      <c r="L24" s="154">
        <v>1</v>
      </c>
      <c r="M24" s="155" t="s">
        <v>18</v>
      </c>
      <c r="N24" s="91" t="s">
        <v>18</v>
      </c>
      <c r="O24" s="91">
        <v>1</v>
      </c>
      <c r="P24" s="16"/>
    </row>
    <row r="25" spans="2:101" ht="40.5" customHeight="1">
      <c r="B25" s="19" t="s">
        <v>32</v>
      </c>
      <c r="C25" s="25" t="s">
        <v>35</v>
      </c>
      <c r="D25" s="25" t="s">
        <v>36</v>
      </c>
      <c r="E25" s="25">
        <v>19</v>
      </c>
      <c r="F25" s="87" t="s">
        <v>72</v>
      </c>
      <c r="G25" s="85" t="s">
        <v>73</v>
      </c>
      <c r="H25" s="146" t="s">
        <v>20</v>
      </c>
      <c r="I25" s="153" t="s">
        <v>18</v>
      </c>
      <c r="J25" s="115" t="s">
        <v>18</v>
      </c>
      <c r="K25" s="154" t="s">
        <v>18</v>
      </c>
      <c r="L25" s="154">
        <v>1</v>
      </c>
      <c r="M25" s="155" t="s">
        <v>18</v>
      </c>
      <c r="N25" s="91" t="s">
        <v>18</v>
      </c>
      <c r="O25" s="91">
        <v>1</v>
      </c>
      <c r="P25" s="16"/>
    </row>
    <row r="26" spans="2:101" ht="58.5" customHeight="1">
      <c r="B26" s="59" t="s">
        <v>32</v>
      </c>
      <c r="C26" s="83" t="s">
        <v>35</v>
      </c>
      <c r="D26" s="78" t="s">
        <v>42</v>
      </c>
      <c r="E26" s="25"/>
      <c r="F26" s="76" t="s">
        <v>14</v>
      </c>
      <c r="G26" s="84" t="s">
        <v>74</v>
      </c>
      <c r="H26" s="172">
        <v>1</v>
      </c>
      <c r="I26" s="173">
        <v>1</v>
      </c>
      <c r="J26" s="173">
        <v>1</v>
      </c>
      <c r="K26" s="173">
        <v>1</v>
      </c>
      <c r="L26" s="173">
        <v>1</v>
      </c>
      <c r="M26" s="173">
        <v>1</v>
      </c>
      <c r="N26" s="173">
        <v>1</v>
      </c>
      <c r="O26" s="173">
        <v>1</v>
      </c>
      <c r="P26" s="28"/>
    </row>
    <row r="27" spans="2:101" ht="31.5" customHeight="1">
      <c r="B27" s="19" t="s">
        <v>32</v>
      </c>
      <c r="C27" s="25" t="s">
        <v>35</v>
      </c>
      <c r="D27" s="25" t="s">
        <v>42</v>
      </c>
      <c r="E27" s="25" t="s">
        <v>35</v>
      </c>
      <c r="F27" s="87" t="s">
        <v>75</v>
      </c>
      <c r="G27" s="85" t="s">
        <v>76</v>
      </c>
      <c r="H27" s="146" t="s">
        <v>77</v>
      </c>
      <c r="I27" s="147" t="s">
        <v>78</v>
      </c>
      <c r="J27" s="148" t="s">
        <v>79</v>
      </c>
      <c r="K27" s="148" t="s">
        <v>79</v>
      </c>
      <c r="L27" s="128">
        <v>1</v>
      </c>
      <c r="M27" s="146" t="s">
        <v>77</v>
      </c>
      <c r="N27" s="146" t="s">
        <v>77</v>
      </c>
      <c r="O27" s="140">
        <v>1</v>
      </c>
      <c r="P27" s="16"/>
    </row>
    <row r="28" spans="2:101" ht="47.25" customHeight="1">
      <c r="B28" s="19" t="s">
        <v>32</v>
      </c>
      <c r="C28" s="149" t="s">
        <v>35</v>
      </c>
      <c r="D28" s="25" t="s">
        <v>42</v>
      </c>
      <c r="E28" s="25" t="s">
        <v>39</v>
      </c>
      <c r="F28" s="87" t="s">
        <v>80</v>
      </c>
      <c r="G28" s="85" t="s">
        <v>81</v>
      </c>
      <c r="H28" s="146" t="s">
        <v>82</v>
      </c>
      <c r="I28" s="147" t="s">
        <v>83</v>
      </c>
      <c r="J28" s="148" t="s">
        <v>84</v>
      </c>
      <c r="K28" s="148" t="s">
        <v>84</v>
      </c>
      <c r="L28" s="128">
        <v>1</v>
      </c>
      <c r="M28" s="146" t="s">
        <v>82</v>
      </c>
      <c r="N28" s="146" t="s">
        <v>82</v>
      </c>
      <c r="O28" s="140">
        <v>1</v>
      </c>
      <c r="P28" s="29"/>
      <c r="CW28" s="30">
        <f>5-3</f>
        <v>2</v>
      </c>
    </row>
    <row r="29" spans="2:101" ht="49.5" customHeight="1">
      <c r="B29" s="19" t="s">
        <v>32</v>
      </c>
      <c r="C29" s="25" t="s">
        <v>35</v>
      </c>
      <c r="D29" s="25" t="s">
        <v>42</v>
      </c>
      <c r="E29" s="25" t="s">
        <v>85</v>
      </c>
      <c r="F29" s="87" t="s">
        <v>86</v>
      </c>
      <c r="G29" s="85" t="s">
        <v>87</v>
      </c>
      <c r="H29" s="146" t="s">
        <v>88</v>
      </c>
      <c r="I29" s="147" t="s">
        <v>89</v>
      </c>
      <c r="J29" s="148" t="s">
        <v>90</v>
      </c>
      <c r="K29" s="148" t="s">
        <v>90</v>
      </c>
      <c r="L29" s="126">
        <v>1</v>
      </c>
      <c r="M29" s="146" t="s">
        <v>88</v>
      </c>
      <c r="N29" s="146" t="s">
        <v>88</v>
      </c>
      <c r="O29" s="140">
        <v>1</v>
      </c>
      <c r="P29" s="32"/>
    </row>
    <row r="30" spans="2:101" ht="33" customHeight="1">
      <c r="B30" s="19" t="s">
        <v>32</v>
      </c>
      <c r="C30" s="149" t="s">
        <v>35</v>
      </c>
      <c r="D30" s="25" t="s">
        <v>42</v>
      </c>
      <c r="E30" s="20">
        <v>10</v>
      </c>
      <c r="F30" s="87" t="s">
        <v>91</v>
      </c>
      <c r="G30" s="85" t="s">
        <v>92</v>
      </c>
      <c r="H30" s="146" t="s">
        <v>93</v>
      </c>
      <c r="I30" s="147" t="s">
        <v>94</v>
      </c>
      <c r="J30" s="148" t="s">
        <v>95</v>
      </c>
      <c r="K30" s="148" t="s">
        <v>95</v>
      </c>
      <c r="L30" s="131">
        <v>1</v>
      </c>
      <c r="M30" s="146" t="s">
        <v>93</v>
      </c>
      <c r="N30" s="146" t="s">
        <v>93</v>
      </c>
      <c r="O30" s="152">
        <v>1</v>
      </c>
      <c r="P30" s="22"/>
    </row>
    <row r="31" spans="2:101" ht="48" customHeight="1">
      <c r="B31" s="19" t="s">
        <v>32</v>
      </c>
      <c r="C31" s="25" t="s">
        <v>35</v>
      </c>
      <c r="D31" s="25" t="s">
        <v>42</v>
      </c>
      <c r="E31" s="20">
        <v>11</v>
      </c>
      <c r="F31" s="87" t="s">
        <v>96</v>
      </c>
      <c r="G31" s="87" t="s">
        <v>97</v>
      </c>
      <c r="H31" s="146" t="s">
        <v>98</v>
      </c>
      <c r="I31" s="156" t="s">
        <v>17</v>
      </c>
      <c r="J31" s="148" t="s">
        <v>99</v>
      </c>
      <c r="K31" s="159" t="s">
        <v>17</v>
      </c>
      <c r="L31" s="154">
        <v>0</v>
      </c>
      <c r="M31" s="146" t="s">
        <v>98</v>
      </c>
      <c r="N31" s="146" t="s">
        <v>98</v>
      </c>
      <c r="O31" s="91">
        <v>1</v>
      </c>
      <c r="P31" s="33"/>
    </row>
    <row r="32" spans="2:101" ht="40.5" customHeight="1">
      <c r="B32" s="19" t="s">
        <v>32</v>
      </c>
      <c r="C32" s="149" t="s">
        <v>35</v>
      </c>
      <c r="D32" s="25" t="s">
        <v>42</v>
      </c>
      <c r="E32" s="20">
        <v>22</v>
      </c>
      <c r="F32" s="87" t="s">
        <v>100</v>
      </c>
      <c r="G32" s="85" t="s">
        <v>101</v>
      </c>
      <c r="H32" s="146">
        <v>1</v>
      </c>
      <c r="I32" s="147" t="s">
        <v>103</v>
      </c>
      <c r="J32" s="148" t="s">
        <v>103</v>
      </c>
      <c r="K32" s="148" t="s">
        <v>103</v>
      </c>
      <c r="L32" s="162">
        <v>1</v>
      </c>
      <c r="M32" s="146" t="s">
        <v>102</v>
      </c>
      <c r="N32" s="146" t="s">
        <v>102</v>
      </c>
      <c r="O32" s="163">
        <v>1</v>
      </c>
      <c r="P32" s="34"/>
    </row>
    <row r="33" spans="2:31" ht="42.75" customHeight="1">
      <c r="B33" s="59" t="s">
        <v>32</v>
      </c>
      <c r="C33" s="25" t="s">
        <v>35</v>
      </c>
      <c r="D33" s="25" t="s">
        <v>42</v>
      </c>
      <c r="E33" s="18">
        <v>24</v>
      </c>
      <c r="F33" s="87" t="s">
        <v>104</v>
      </c>
      <c r="G33" s="85" t="s">
        <v>105</v>
      </c>
      <c r="H33" s="146" t="s">
        <v>48</v>
      </c>
      <c r="I33" s="147" t="s">
        <v>106</v>
      </c>
      <c r="J33" s="148" t="s">
        <v>107</v>
      </c>
      <c r="K33" s="148" t="s">
        <v>107</v>
      </c>
      <c r="L33" s="128">
        <v>1</v>
      </c>
      <c r="M33" s="146" t="s">
        <v>48</v>
      </c>
      <c r="N33" s="146" t="s">
        <v>48</v>
      </c>
      <c r="O33" s="152">
        <v>1</v>
      </c>
      <c r="P33" s="35"/>
    </row>
    <row r="34" spans="2:31" ht="43.5" customHeight="1">
      <c r="B34" s="59" t="s">
        <v>32</v>
      </c>
      <c r="C34" s="83" t="s">
        <v>35</v>
      </c>
      <c r="D34" s="25" t="s">
        <v>42</v>
      </c>
      <c r="E34" s="25">
        <v>26</v>
      </c>
      <c r="F34" s="87" t="s">
        <v>108</v>
      </c>
      <c r="G34" s="85" t="s">
        <v>109</v>
      </c>
      <c r="H34" s="146" t="s">
        <v>114</v>
      </c>
      <c r="I34" s="147" t="s">
        <v>116</v>
      </c>
      <c r="J34" s="148" t="s">
        <v>114</v>
      </c>
      <c r="K34" s="148" t="s">
        <v>114</v>
      </c>
      <c r="L34" s="128">
        <v>1</v>
      </c>
      <c r="M34" s="146" t="s">
        <v>114</v>
      </c>
      <c r="N34" s="146" t="s">
        <v>114</v>
      </c>
      <c r="O34" s="152">
        <v>1</v>
      </c>
      <c r="P34" s="35"/>
    </row>
    <row r="35" spans="2:31" s="49" customFormat="1" ht="44.25" customHeight="1">
      <c r="B35" s="59" t="s">
        <v>32</v>
      </c>
      <c r="C35" s="25" t="s">
        <v>35</v>
      </c>
      <c r="D35" s="25" t="s">
        <v>42</v>
      </c>
      <c r="E35" s="36">
        <v>28</v>
      </c>
      <c r="F35" s="87" t="s">
        <v>110</v>
      </c>
      <c r="G35" s="85" t="s">
        <v>111</v>
      </c>
      <c r="H35" s="146" t="s">
        <v>65</v>
      </c>
      <c r="I35" s="156" t="s">
        <v>17</v>
      </c>
      <c r="J35" s="164" t="s">
        <v>17</v>
      </c>
      <c r="K35" s="164" t="s">
        <v>17</v>
      </c>
      <c r="L35" s="131">
        <v>1</v>
      </c>
      <c r="M35" s="146" t="s">
        <v>65</v>
      </c>
      <c r="N35" s="146" t="s">
        <v>65</v>
      </c>
      <c r="O35" s="166">
        <v>1</v>
      </c>
      <c r="P35" s="39"/>
      <c r="Q35" s="40"/>
      <c r="R35" s="41"/>
      <c r="S35" s="40"/>
      <c r="T35" s="41"/>
      <c r="U35" s="40"/>
      <c r="V35" s="42">
        <f t="shared" ref="V35:V37" si="1">+O35</f>
        <v>1</v>
      </c>
      <c r="W35" s="43"/>
      <c r="X35" s="44" t="e">
        <f>#REF!+Q35+S35+U35</f>
        <v>#REF!</v>
      </c>
      <c r="Y35" s="42" t="e">
        <f>+V35+#REF!</f>
        <v>#REF!</v>
      </c>
      <c r="Z35" s="41"/>
      <c r="AA35" s="40" t="e">
        <f>#REF!+X35</f>
        <v>#REF!</v>
      </c>
      <c r="AB35" s="45">
        <f>45/200*100</f>
        <v>22.5</v>
      </c>
      <c r="AC35" s="46" t="e">
        <f>AA35/#REF!*100</f>
        <v>#REF!</v>
      </c>
      <c r="AD35" s="47"/>
      <c r="AE35" s="48"/>
    </row>
    <row r="36" spans="2:31" s="49" customFormat="1" ht="52.5" customHeight="1">
      <c r="B36" s="59" t="s">
        <v>32</v>
      </c>
      <c r="C36" s="83" t="s">
        <v>35</v>
      </c>
      <c r="D36" s="25" t="s">
        <v>42</v>
      </c>
      <c r="E36" s="36">
        <v>42</v>
      </c>
      <c r="F36" s="87" t="s">
        <v>112</v>
      </c>
      <c r="G36" s="165" t="s">
        <v>113</v>
      </c>
      <c r="H36" s="146" t="s">
        <v>115</v>
      </c>
      <c r="I36" s="147" t="s">
        <v>117</v>
      </c>
      <c r="J36" s="148" t="s">
        <v>118</v>
      </c>
      <c r="K36" s="148" t="s">
        <v>118</v>
      </c>
      <c r="L36" s="131">
        <v>1</v>
      </c>
      <c r="M36" s="146" t="s">
        <v>115</v>
      </c>
      <c r="N36" s="146" t="s">
        <v>115</v>
      </c>
      <c r="O36" s="166">
        <v>1</v>
      </c>
      <c r="P36" s="39"/>
      <c r="Q36" s="40"/>
      <c r="R36" s="41"/>
      <c r="S36" s="40"/>
      <c r="T36" s="41"/>
      <c r="U36" s="40"/>
      <c r="V36" s="42">
        <f t="shared" si="1"/>
        <v>1</v>
      </c>
      <c r="W36" s="43"/>
      <c r="X36" s="44" t="e">
        <f>#REF!+Q36+S36+U36</f>
        <v>#REF!</v>
      </c>
      <c r="Y36" s="42" t="e">
        <f>+V36+#REF!</f>
        <v>#REF!</v>
      </c>
      <c r="Z36" s="41"/>
      <c r="AA36" s="40" t="e">
        <f>#REF!+X36</f>
        <v>#REF!</v>
      </c>
      <c r="AB36" s="45">
        <f>45/200*100</f>
        <v>22.5</v>
      </c>
      <c r="AC36" s="46" t="e">
        <f>AA36/#REF!*100</f>
        <v>#REF!</v>
      </c>
      <c r="AD36" s="47"/>
      <c r="AE36" s="48"/>
    </row>
    <row r="37" spans="2:31" s="49" customFormat="1" ht="38.25" customHeight="1">
      <c r="B37" s="59" t="s">
        <v>32</v>
      </c>
      <c r="C37" s="78" t="s">
        <v>35</v>
      </c>
      <c r="D37" s="170" t="s">
        <v>45</v>
      </c>
      <c r="E37" s="171"/>
      <c r="F37" s="167" t="s">
        <v>119</v>
      </c>
      <c r="G37" s="174" t="s">
        <v>126</v>
      </c>
      <c r="H37" s="157" t="s">
        <v>120</v>
      </c>
      <c r="I37" s="161" t="s">
        <v>123</v>
      </c>
      <c r="J37" s="158" t="s">
        <v>124</v>
      </c>
      <c r="K37" s="158" t="s">
        <v>124</v>
      </c>
      <c r="L37" s="129">
        <v>1</v>
      </c>
      <c r="M37" s="157" t="s">
        <v>120</v>
      </c>
      <c r="N37" s="157" t="s">
        <v>120</v>
      </c>
      <c r="O37" s="160">
        <v>1</v>
      </c>
      <c r="P37" s="39"/>
      <c r="Q37" s="40"/>
      <c r="R37" s="41"/>
      <c r="S37" s="40"/>
      <c r="T37" s="41"/>
      <c r="U37" s="40"/>
      <c r="V37" s="42">
        <f t="shared" si="1"/>
        <v>1</v>
      </c>
      <c r="W37" s="43"/>
      <c r="X37" s="44" t="e">
        <f>#REF!+Q37+S37+U37</f>
        <v>#REF!</v>
      </c>
      <c r="Y37" s="42" t="e">
        <f>+V37+#REF!</f>
        <v>#REF!</v>
      </c>
      <c r="Z37" s="41"/>
      <c r="AA37" s="40" t="e">
        <f>#REF!+X37</f>
        <v>#REF!</v>
      </c>
      <c r="AB37" s="45">
        <f>45/200*100</f>
        <v>22.5</v>
      </c>
      <c r="AC37" s="46" t="e">
        <f>AA37/#REF!*100</f>
        <v>#REF!</v>
      </c>
      <c r="AD37" s="47"/>
      <c r="AE37" s="48"/>
    </row>
    <row r="38" spans="2:31" ht="48" customHeight="1">
      <c r="B38" s="59" t="s">
        <v>32</v>
      </c>
      <c r="C38" s="83" t="s">
        <v>35</v>
      </c>
      <c r="D38" s="78" t="s">
        <v>45</v>
      </c>
      <c r="E38" s="78" t="s">
        <v>35</v>
      </c>
      <c r="F38" s="169" t="s">
        <v>121</v>
      </c>
      <c r="G38" s="87" t="s">
        <v>122</v>
      </c>
      <c r="H38" s="146" t="s">
        <v>120</v>
      </c>
      <c r="I38" s="147" t="s">
        <v>123</v>
      </c>
      <c r="J38" s="148" t="s">
        <v>124</v>
      </c>
      <c r="K38" s="148" t="s">
        <v>124</v>
      </c>
      <c r="L38" s="129">
        <v>1</v>
      </c>
      <c r="M38" s="146" t="s">
        <v>120</v>
      </c>
      <c r="N38" s="146" t="s">
        <v>120</v>
      </c>
      <c r="O38" s="163">
        <v>1</v>
      </c>
      <c r="P38" s="34"/>
    </row>
    <row r="39" spans="2:31" s="176" customFormat="1" ht="112.5" customHeight="1">
      <c r="B39" s="59" t="s">
        <v>32</v>
      </c>
      <c r="C39" s="78" t="s">
        <v>35</v>
      </c>
      <c r="D39" s="79" t="s">
        <v>35</v>
      </c>
      <c r="E39" s="23"/>
      <c r="F39" s="24" t="s">
        <v>125</v>
      </c>
      <c r="G39" s="174" t="s">
        <v>127</v>
      </c>
      <c r="H39" s="93" t="s">
        <v>136</v>
      </c>
      <c r="I39" s="178" t="s">
        <v>137</v>
      </c>
      <c r="J39" s="93" t="s">
        <v>136</v>
      </c>
      <c r="K39" s="93" t="s">
        <v>136</v>
      </c>
      <c r="L39" s="129">
        <v>1</v>
      </c>
      <c r="M39" s="93" t="s">
        <v>136</v>
      </c>
      <c r="N39" s="93" t="s">
        <v>136</v>
      </c>
      <c r="O39" s="160">
        <v>1</v>
      </c>
      <c r="P39" s="175"/>
    </row>
    <row r="40" spans="2:31" ht="72.75" customHeight="1">
      <c r="B40" s="59" t="s">
        <v>32</v>
      </c>
      <c r="C40" s="83" t="s">
        <v>35</v>
      </c>
      <c r="D40" s="80" t="s">
        <v>35</v>
      </c>
      <c r="E40" s="80" t="s">
        <v>45</v>
      </c>
      <c r="F40" s="169" t="s">
        <v>128</v>
      </c>
      <c r="G40" s="87" t="s">
        <v>129</v>
      </c>
      <c r="H40" s="146" t="s">
        <v>133</v>
      </c>
      <c r="I40" s="147" t="s">
        <v>133</v>
      </c>
      <c r="J40" s="148" t="s">
        <v>133</v>
      </c>
      <c r="K40" s="148" t="s">
        <v>133</v>
      </c>
      <c r="L40" s="113">
        <v>1</v>
      </c>
      <c r="M40" s="146" t="s">
        <v>133</v>
      </c>
      <c r="N40" s="146" t="s">
        <v>133</v>
      </c>
      <c r="O40" s="177">
        <v>1</v>
      </c>
      <c r="P40" s="50"/>
    </row>
    <row r="41" spans="2:31" ht="52.5" customHeight="1">
      <c r="B41" s="59" t="s">
        <v>32</v>
      </c>
      <c r="C41" s="25" t="s">
        <v>35</v>
      </c>
      <c r="D41" s="80" t="s">
        <v>35</v>
      </c>
      <c r="E41" s="80" t="s">
        <v>132</v>
      </c>
      <c r="F41" s="169" t="s">
        <v>130</v>
      </c>
      <c r="G41" s="87" t="s">
        <v>131</v>
      </c>
      <c r="H41" s="146" t="s">
        <v>134</v>
      </c>
      <c r="I41" s="147" t="s">
        <v>135</v>
      </c>
      <c r="J41" s="148" t="s">
        <v>134</v>
      </c>
      <c r="K41" s="148" t="s">
        <v>134</v>
      </c>
      <c r="L41" s="168">
        <v>1</v>
      </c>
      <c r="M41" s="146" t="s">
        <v>134</v>
      </c>
      <c r="N41" s="146" t="s">
        <v>134</v>
      </c>
      <c r="O41" s="177">
        <v>1</v>
      </c>
      <c r="P41" s="22"/>
    </row>
    <row r="42" spans="2:31" ht="60">
      <c r="B42" s="59" t="s">
        <v>32</v>
      </c>
      <c r="C42" s="83" t="s">
        <v>35</v>
      </c>
      <c r="D42" s="179" t="s">
        <v>38</v>
      </c>
      <c r="E42" s="180"/>
      <c r="F42" s="180" t="s">
        <v>138</v>
      </c>
      <c r="G42" s="84" t="s">
        <v>139</v>
      </c>
      <c r="H42" s="181"/>
      <c r="I42" s="182"/>
      <c r="J42" s="183"/>
      <c r="K42" s="184"/>
      <c r="L42" s="185"/>
      <c r="M42" s="181"/>
      <c r="N42" s="181"/>
      <c r="O42" s="95"/>
      <c r="P42" s="51"/>
    </row>
    <row r="43" spans="2:31" ht="210.75" customHeight="1">
      <c r="B43" s="19" t="s">
        <v>32</v>
      </c>
      <c r="C43" s="25" t="s">
        <v>35</v>
      </c>
      <c r="D43" s="75" t="s">
        <v>38</v>
      </c>
      <c r="E43" s="186" t="s">
        <v>36</v>
      </c>
      <c r="F43" s="169" t="s">
        <v>140</v>
      </c>
      <c r="G43" s="85" t="s">
        <v>141</v>
      </c>
      <c r="H43" s="146" t="s">
        <v>142</v>
      </c>
      <c r="I43" s="147" t="s">
        <v>143</v>
      </c>
      <c r="J43" s="148" t="s">
        <v>144</v>
      </c>
      <c r="K43" s="148" t="s">
        <v>144</v>
      </c>
      <c r="L43" s="187">
        <v>1</v>
      </c>
      <c r="M43" s="146" t="s">
        <v>142</v>
      </c>
      <c r="N43" s="146" t="s">
        <v>142</v>
      </c>
      <c r="O43" s="188">
        <v>1</v>
      </c>
      <c r="P43" s="52"/>
    </row>
    <row r="44" spans="2:31" ht="35.25" customHeight="1">
      <c r="B44" s="19" t="s">
        <v>32</v>
      </c>
      <c r="C44" s="149" t="s">
        <v>35</v>
      </c>
      <c r="D44" s="75" t="s">
        <v>38</v>
      </c>
      <c r="E44" s="186" t="s">
        <v>45</v>
      </c>
      <c r="F44" s="169" t="s">
        <v>145</v>
      </c>
      <c r="G44" s="85" t="s">
        <v>146</v>
      </c>
      <c r="H44" s="146" t="s">
        <v>147</v>
      </c>
      <c r="I44" s="147" t="s">
        <v>148</v>
      </c>
      <c r="J44" s="148" t="s">
        <v>149</v>
      </c>
      <c r="K44" s="148" t="s">
        <v>149</v>
      </c>
      <c r="L44" s="187">
        <v>1</v>
      </c>
      <c r="M44" s="146" t="s">
        <v>147</v>
      </c>
      <c r="N44" s="146" t="s">
        <v>147</v>
      </c>
      <c r="O44" s="188">
        <v>1</v>
      </c>
      <c r="P44" s="52"/>
    </row>
    <row r="45" spans="2:31" ht="112.5" customHeight="1">
      <c r="B45" s="19" t="s">
        <v>32</v>
      </c>
      <c r="C45" s="25" t="s">
        <v>35</v>
      </c>
      <c r="D45" s="75" t="s">
        <v>38</v>
      </c>
      <c r="E45" s="186" t="s">
        <v>39</v>
      </c>
      <c r="F45" s="169" t="s">
        <v>150</v>
      </c>
      <c r="G45" s="85" t="s">
        <v>151</v>
      </c>
      <c r="H45" s="146" t="s">
        <v>19</v>
      </c>
      <c r="I45" s="147" t="s">
        <v>19</v>
      </c>
      <c r="J45" s="148" t="s">
        <v>19</v>
      </c>
      <c r="K45" s="148" t="s">
        <v>19</v>
      </c>
      <c r="L45" s="187">
        <v>1</v>
      </c>
      <c r="M45" s="146" t="s">
        <v>19</v>
      </c>
      <c r="N45" s="146" t="s">
        <v>19</v>
      </c>
      <c r="O45" s="188">
        <v>1</v>
      </c>
      <c r="P45" s="52"/>
    </row>
    <row r="46" spans="2:31" ht="57.75" customHeight="1">
      <c r="B46" s="19" t="s">
        <v>32</v>
      </c>
      <c r="C46" s="149" t="s">
        <v>35</v>
      </c>
      <c r="D46" s="75" t="s">
        <v>38</v>
      </c>
      <c r="E46" s="25" t="s">
        <v>53</v>
      </c>
      <c r="F46" s="150" t="s">
        <v>152</v>
      </c>
      <c r="G46" s="85" t="s">
        <v>153</v>
      </c>
      <c r="H46" s="146" t="s">
        <v>16</v>
      </c>
      <c r="I46" s="156" t="s">
        <v>17</v>
      </c>
      <c r="J46" s="148" t="s">
        <v>16</v>
      </c>
      <c r="K46" s="148" t="s">
        <v>16</v>
      </c>
      <c r="L46" s="128">
        <v>1</v>
      </c>
      <c r="M46" s="146" t="s">
        <v>16</v>
      </c>
      <c r="N46" s="146" t="s">
        <v>16</v>
      </c>
      <c r="O46" s="142">
        <v>1</v>
      </c>
      <c r="P46" s="28"/>
    </row>
    <row r="47" spans="2:31" ht="30" customHeight="1">
      <c r="B47" s="19" t="s">
        <v>32</v>
      </c>
      <c r="C47" s="25" t="s">
        <v>35</v>
      </c>
      <c r="D47" s="75" t="s">
        <v>38</v>
      </c>
      <c r="E47" s="186" t="s">
        <v>85</v>
      </c>
      <c r="F47" s="150" t="s">
        <v>154</v>
      </c>
      <c r="G47" s="85" t="s">
        <v>155</v>
      </c>
      <c r="H47" s="189" t="s">
        <v>17</v>
      </c>
      <c r="I47" s="156" t="s">
        <v>17</v>
      </c>
      <c r="J47" s="148" t="s">
        <v>15</v>
      </c>
      <c r="K47" s="148" t="s">
        <v>15</v>
      </c>
      <c r="L47" s="128">
        <v>1</v>
      </c>
      <c r="M47" s="189" t="s">
        <v>17</v>
      </c>
      <c r="N47" s="189" t="s">
        <v>17</v>
      </c>
      <c r="O47" s="142">
        <v>1</v>
      </c>
      <c r="P47" s="53"/>
    </row>
    <row r="48" spans="2:31" ht="47.25" customHeight="1">
      <c r="B48" s="19" t="s">
        <v>32</v>
      </c>
      <c r="C48" s="149" t="s">
        <v>35</v>
      </c>
      <c r="D48" s="75" t="s">
        <v>38</v>
      </c>
      <c r="E48" s="186">
        <v>10</v>
      </c>
      <c r="F48" s="87" t="s">
        <v>156</v>
      </c>
      <c r="G48" s="85" t="s">
        <v>157</v>
      </c>
      <c r="H48" s="146" t="s">
        <v>15</v>
      </c>
      <c r="I48" s="147" t="s">
        <v>15</v>
      </c>
      <c r="J48" s="148" t="s">
        <v>15</v>
      </c>
      <c r="K48" s="148" t="s">
        <v>15</v>
      </c>
      <c r="L48" s="128">
        <v>1</v>
      </c>
      <c r="M48" s="146" t="s">
        <v>15</v>
      </c>
      <c r="N48" s="146" t="s">
        <v>15</v>
      </c>
      <c r="O48" s="142">
        <v>1</v>
      </c>
      <c r="P48" s="54"/>
    </row>
    <row r="49" spans="2:16" s="176" customFormat="1" ht="63" customHeight="1">
      <c r="B49" s="59" t="s">
        <v>32</v>
      </c>
      <c r="C49" s="78" t="s">
        <v>35</v>
      </c>
      <c r="D49" s="179">
        <v>17</v>
      </c>
      <c r="E49" s="193"/>
      <c r="F49" s="180" t="s">
        <v>158</v>
      </c>
      <c r="G49" s="174" t="s">
        <v>159</v>
      </c>
      <c r="H49" s="144"/>
      <c r="I49" s="103"/>
      <c r="J49" s="116"/>
      <c r="K49" s="117"/>
      <c r="L49" s="190"/>
      <c r="M49" s="144"/>
      <c r="N49" s="144"/>
      <c r="O49" s="191"/>
      <c r="P49" s="194"/>
    </row>
    <row r="50" spans="2:16" ht="40.5" customHeight="1">
      <c r="B50" s="19" t="s">
        <v>32</v>
      </c>
      <c r="C50" s="149" t="s">
        <v>35</v>
      </c>
      <c r="D50" s="20">
        <v>17</v>
      </c>
      <c r="E50" s="25" t="s">
        <v>42</v>
      </c>
      <c r="F50" s="222" t="s">
        <v>160</v>
      </c>
      <c r="G50" s="197" t="s">
        <v>161</v>
      </c>
      <c r="H50" s="146" t="s">
        <v>168</v>
      </c>
      <c r="I50" s="147" t="s">
        <v>15</v>
      </c>
      <c r="J50" s="148" t="s">
        <v>169</v>
      </c>
      <c r="K50" s="148" t="s">
        <v>169</v>
      </c>
      <c r="L50" s="131">
        <v>1</v>
      </c>
      <c r="M50" s="146" t="s">
        <v>168</v>
      </c>
      <c r="N50" s="146" t="s">
        <v>168</v>
      </c>
      <c r="O50" s="152">
        <v>1</v>
      </c>
      <c r="P50" s="22"/>
    </row>
    <row r="51" spans="2:16" ht="55.5" customHeight="1">
      <c r="B51" s="19" t="s">
        <v>32</v>
      </c>
      <c r="C51" s="25" t="s">
        <v>35</v>
      </c>
      <c r="D51" s="78">
        <v>17</v>
      </c>
      <c r="E51" s="78" t="s">
        <v>45</v>
      </c>
      <c r="F51" s="222" t="s">
        <v>162</v>
      </c>
      <c r="G51" s="197" t="s">
        <v>163</v>
      </c>
      <c r="H51" s="189" t="s">
        <v>17</v>
      </c>
      <c r="I51" s="156" t="s">
        <v>17</v>
      </c>
      <c r="J51" s="148" t="s">
        <v>168</v>
      </c>
      <c r="K51" s="148" t="s">
        <v>168</v>
      </c>
      <c r="L51" s="125">
        <v>1</v>
      </c>
      <c r="M51" s="189" t="s">
        <v>17</v>
      </c>
      <c r="N51" s="189" t="s">
        <v>17</v>
      </c>
      <c r="O51" s="91">
        <v>1</v>
      </c>
      <c r="P51" s="26"/>
    </row>
    <row r="52" spans="2:16" ht="59.25" customHeight="1">
      <c r="B52" s="19" t="s">
        <v>32</v>
      </c>
      <c r="C52" s="149" t="s">
        <v>35</v>
      </c>
      <c r="D52" s="20">
        <v>17</v>
      </c>
      <c r="E52" s="14" t="s">
        <v>132</v>
      </c>
      <c r="F52" s="222" t="s">
        <v>164</v>
      </c>
      <c r="G52" s="197" t="s">
        <v>165</v>
      </c>
      <c r="H52" s="146" t="s">
        <v>149</v>
      </c>
      <c r="I52" s="156" t="s">
        <v>17</v>
      </c>
      <c r="J52" s="148" t="s">
        <v>169</v>
      </c>
      <c r="K52" s="148" t="s">
        <v>169</v>
      </c>
      <c r="L52" s="131">
        <v>1</v>
      </c>
      <c r="M52" s="146" t="s">
        <v>149</v>
      </c>
      <c r="N52" s="146" t="s">
        <v>149</v>
      </c>
      <c r="O52" s="152">
        <v>1</v>
      </c>
      <c r="P52" s="28"/>
    </row>
    <row r="53" spans="2:16" ht="60" customHeight="1">
      <c r="B53" s="19" t="s">
        <v>32</v>
      </c>
      <c r="C53" s="25" t="s">
        <v>35</v>
      </c>
      <c r="D53" s="78">
        <v>17</v>
      </c>
      <c r="E53" s="192" t="s">
        <v>38</v>
      </c>
      <c r="F53" s="196" t="s">
        <v>166</v>
      </c>
      <c r="G53" s="197" t="s">
        <v>167</v>
      </c>
      <c r="H53" s="146" t="s">
        <v>170</v>
      </c>
      <c r="I53" s="147" t="s">
        <v>15</v>
      </c>
      <c r="J53" s="148" t="s">
        <v>171</v>
      </c>
      <c r="K53" s="148" t="s">
        <v>171</v>
      </c>
      <c r="L53" s="125">
        <v>1</v>
      </c>
      <c r="M53" s="146" t="s">
        <v>170</v>
      </c>
      <c r="N53" s="146" t="s">
        <v>170</v>
      </c>
      <c r="O53" s="91">
        <v>1</v>
      </c>
      <c r="P53" s="416"/>
    </row>
    <row r="54" spans="2:16" ht="66" customHeight="1">
      <c r="B54" s="19" t="s">
        <v>32</v>
      </c>
      <c r="C54" s="149" t="s">
        <v>35</v>
      </c>
      <c r="D54" s="20">
        <v>17</v>
      </c>
      <c r="E54" s="192" t="s">
        <v>39</v>
      </c>
      <c r="F54" s="169" t="s">
        <v>172</v>
      </c>
      <c r="G54" s="85" t="s">
        <v>173</v>
      </c>
      <c r="H54" s="146" t="s">
        <v>15</v>
      </c>
      <c r="I54" s="147" t="s">
        <v>15</v>
      </c>
      <c r="J54" s="148" t="s">
        <v>171</v>
      </c>
      <c r="K54" s="148" t="s">
        <v>171</v>
      </c>
      <c r="L54" s="131">
        <v>1</v>
      </c>
      <c r="M54" s="146" t="s">
        <v>15</v>
      </c>
      <c r="N54" s="146" t="s">
        <v>15</v>
      </c>
      <c r="O54" s="152">
        <v>1</v>
      </c>
      <c r="P54" s="416"/>
    </row>
    <row r="55" spans="2:16" ht="60" customHeight="1">
      <c r="B55" s="19" t="s">
        <v>32</v>
      </c>
      <c r="C55" s="25" t="s">
        <v>35</v>
      </c>
      <c r="D55" s="78">
        <v>17</v>
      </c>
      <c r="E55" s="198" t="s">
        <v>53</v>
      </c>
      <c r="F55" s="169" t="s">
        <v>174</v>
      </c>
      <c r="G55" s="85" t="s">
        <v>175</v>
      </c>
      <c r="H55" s="146" t="s">
        <v>170</v>
      </c>
      <c r="I55" s="147" t="s">
        <v>15</v>
      </c>
      <c r="J55" s="148" t="s">
        <v>171</v>
      </c>
      <c r="K55" s="148" t="s">
        <v>171</v>
      </c>
      <c r="L55" s="125">
        <v>1</v>
      </c>
      <c r="M55" s="146" t="s">
        <v>170</v>
      </c>
      <c r="N55" s="146" t="s">
        <v>170</v>
      </c>
      <c r="O55" s="91">
        <v>1</v>
      </c>
      <c r="P55" s="417"/>
    </row>
    <row r="56" spans="2:16" ht="68.25" customHeight="1">
      <c r="B56" s="19" t="s">
        <v>32</v>
      </c>
      <c r="C56" s="149" t="s">
        <v>35</v>
      </c>
      <c r="D56" s="20">
        <v>17</v>
      </c>
      <c r="E56" s="186" t="s">
        <v>85</v>
      </c>
      <c r="F56" s="169" t="s">
        <v>176</v>
      </c>
      <c r="G56" s="85" t="s">
        <v>175</v>
      </c>
      <c r="H56" s="146" t="s">
        <v>15</v>
      </c>
      <c r="I56" s="147" t="s">
        <v>15</v>
      </c>
      <c r="J56" s="148" t="s">
        <v>171</v>
      </c>
      <c r="K56" s="148" t="s">
        <v>171</v>
      </c>
      <c r="L56" s="125">
        <v>1</v>
      </c>
      <c r="M56" s="146" t="s">
        <v>15</v>
      </c>
      <c r="N56" s="146" t="s">
        <v>15</v>
      </c>
      <c r="O56" s="91">
        <v>1</v>
      </c>
      <c r="P56" s="418"/>
    </row>
    <row r="57" spans="2:16" ht="73.5" customHeight="1">
      <c r="B57" s="19" t="s">
        <v>32</v>
      </c>
      <c r="C57" s="25" t="s">
        <v>35</v>
      </c>
      <c r="D57" s="78">
        <v>17</v>
      </c>
      <c r="E57" s="14">
        <v>10</v>
      </c>
      <c r="F57" s="169" t="s">
        <v>177</v>
      </c>
      <c r="G57" s="85" t="s">
        <v>178</v>
      </c>
      <c r="H57" s="146" t="s">
        <v>15</v>
      </c>
      <c r="I57" s="147" t="s">
        <v>15</v>
      </c>
      <c r="J57" s="148" t="s">
        <v>148</v>
      </c>
      <c r="K57" s="148" t="s">
        <v>148</v>
      </c>
      <c r="L57" s="125">
        <v>1</v>
      </c>
      <c r="M57" s="146" t="s">
        <v>15</v>
      </c>
      <c r="N57" s="146" t="s">
        <v>15</v>
      </c>
      <c r="O57" s="91">
        <v>1</v>
      </c>
      <c r="P57" s="55"/>
    </row>
    <row r="58" spans="2:16" ht="69" customHeight="1">
      <c r="B58" s="19" t="s">
        <v>32</v>
      </c>
      <c r="C58" s="149" t="s">
        <v>35</v>
      </c>
      <c r="D58" s="20">
        <v>17</v>
      </c>
      <c r="E58" s="14">
        <v>11</v>
      </c>
      <c r="F58" s="87" t="s">
        <v>179</v>
      </c>
      <c r="G58" s="85" t="s">
        <v>180</v>
      </c>
      <c r="H58" s="146" t="s">
        <v>182</v>
      </c>
      <c r="I58" s="147" t="s">
        <v>15</v>
      </c>
      <c r="J58" s="148" t="s">
        <v>181</v>
      </c>
      <c r="K58" s="148" t="s">
        <v>181</v>
      </c>
      <c r="L58" s="125">
        <v>1</v>
      </c>
      <c r="M58" s="146" t="s">
        <v>182</v>
      </c>
      <c r="N58" s="146" t="s">
        <v>182</v>
      </c>
      <c r="O58" s="91">
        <v>1</v>
      </c>
      <c r="P58" s="55"/>
    </row>
    <row r="59" spans="2:16" ht="70.5" customHeight="1">
      <c r="B59" s="19" t="s">
        <v>32</v>
      </c>
      <c r="C59" s="25" t="s">
        <v>35</v>
      </c>
      <c r="D59" s="20">
        <v>17</v>
      </c>
      <c r="E59" s="37"/>
      <c r="F59" s="87" t="s">
        <v>183</v>
      </c>
      <c r="G59" s="85" t="s">
        <v>184</v>
      </c>
      <c r="H59" s="146" t="s">
        <v>190</v>
      </c>
      <c r="I59" s="147" t="s">
        <v>189</v>
      </c>
      <c r="J59" s="148" t="s">
        <v>190</v>
      </c>
      <c r="K59" s="148" t="s">
        <v>190</v>
      </c>
      <c r="L59" s="125">
        <v>1</v>
      </c>
      <c r="M59" s="146" t="s">
        <v>190</v>
      </c>
      <c r="N59" s="146" t="s">
        <v>190</v>
      </c>
      <c r="O59" s="91">
        <v>1</v>
      </c>
      <c r="P59" s="426"/>
    </row>
    <row r="60" spans="2:16" ht="57.75" customHeight="1">
      <c r="B60" s="19" t="s">
        <v>32</v>
      </c>
      <c r="C60" s="149" t="s">
        <v>35</v>
      </c>
      <c r="D60" s="78">
        <v>17</v>
      </c>
      <c r="E60" s="37">
        <v>14</v>
      </c>
      <c r="F60" s="87" t="s">
        <v>185</v>
      </c>
      <c r="G60" s="85" t="s">
        <v>186</v>
      </c>
      <c r="H60" s="146" t="s">
        <v>195</v>
      </c>
      <c r="I60" s="147" t="s">
        <v>191</v>
      </c>
      <c r="J60" s="148" t="s">
        <v>192</v>
      </c>
      <c r="K60" s="148" t="s">
        <v>192</v>
      </c>
      <c r="L60" s="125">
        <v>1</v>
      </c>
      <c r="M60" s="146" t="s">
        <v>195</v>
      </c>
      <c r="N60" s="146" t="s">
        <v>195</v>
      </c>
      <c r="O60" s="91">
        <v>1</v>
      </c>
      <c r="P60" s="426"/>
    </row>
    <row r="61" spans="2:16" ht="62.25" customHeight="1">
      <c r="B61" s="19" t="s">
        <v>32</v>
      </c>
      <c r="C61" s="25" t="s">
        <v>35</v>
      </c>
      <c r="D61" s="20">
        <v>17</v>
      </c>
      <c r="E61" s="37">
        <v>15</v>
      </c>
      <c r="F61" s="205" t="s">
        <v>187</v>
      </c>
      <c r="G61" s="85" t="s">
        <v>188</v>
      </c>
      <c r="H61" s="146" t="s">
        <v>196</v>
      </c>
      <c r="I61" s="147" t="s">
        <v>193</v>
      </c>
      <c r="J61" s="148" t="s">
        <v>194</v>
      </c>
      <c r="K61" s="148" t="s">
        <v>194</v>
      </c>
      <c r="L61" s="125">
        <v>1</v>
      </c>
      <c r="M61" s="146" t="s">
        <v>196</v>
      </c>
      <c r="N61" s="146" t="s">
        <v>196</v>
      </c>
      <c r="O61" s="91">
        <v>1</v>
      </c>
      <c r="P61" s="426"/>
    </row>
    <row r="62" spans="2:16" ht="199.5">
      <c r="B62" s="19" t="s">
        <v>32</v>
      </c>
      <c r="C62" s="149" t="s">
        <v>35</v>
      </c>
      <c r="D62" s="78">
        <v>17</v>
      </c>
      <c r="E62" s="37">
        <v>19</v>
      </c>
      <c r="F62" s="87" t="s">
        <v>197</v>
      </c>
      <c r="G62" s="85" t="s">
        <v>198</v>
      </c>
      <c r="H62" s="189" t="s">
        <v>17</v>
      </c>
      <c r="I62" s="147" t="s">
        <v>199</v>
      </c>
      <c r="J62" s="148" t="s">
        <v>200</v>
      </c>
      <c r="K62" s="148" t="s">
        <v>200</v>
      </c>
      <c r="L62" s="201">
        <v>1</v>
      </c>
      <c r="M62" s="200" t="s">
        <v>17</v>
      </c>
      <c r="N62" s="143" t="s">
        <v>17</v>
      </c>
      <c r="O62" s="215">
        <v>0</v>
      </c>
      <c r="P62" s="426"/>
    </row>
    <row r="63" spans="2:16" ht="79.5" customHeight="1">
      <c r="B63" s="19" t="s">
        <v>32</v>
      </c>
      <c r="C63" s="25" t="s">
        <v>35</v>
      </c>
      <c r="D63" s="20">
        <v>17</v>
      </c>
      <c r="E63" s="37">
        <v>20</v>
      </c>
      <c r="F63" s="87" t="s">
        <v>201</v>
      </c>
      <c r="G63" s="85" t="s">
        <v>202</v>
      </c>
      <c r="H63" s="146" t="s">
        <v>205</v>
      </c>
      <c r="I63" s="147" t="s">
        <v>205</v>
      </c>
      <c r="J63" s="148" t="s">
        <v>206</v>
      </c>
      <c r="K63" s="148" t="s">
        <v>206</v>
      </c>
      <c r="L63" s="201">
        <v>1</v>
      </c>
      <c r="M63" s="146" t="s">
        <v>205</v>
      </c>
      <c r="N63" s="146" t="s">
        <v>205</v>
      </c>
      <c r="O63" s="215">
        <v>1</v>
      </c>
      <c r="P63" s="426"/>
    </row>
    <row r="64" spans="2:16" ht="60.75" customHeight="1">
      <c r="B64" s="19" t="s">
        <v>32</v>
      </c>
      <c r="C64" s="149" t="s">
        <v>35</v>
      </c>
      <c r="D64" s="78">
        <v>17</v>
      </c>
      <c r="E64" s="37">
        <v>22</v>
      </c>
      <c r="F64" s="150" t="s">
        <v>203</v>
      </c>
      <c r="G64" s="85" t="s">
        <v>204</v>
      </c>
      <c r="H64" s="189" t="s">
        <v>17</v>
      </c>
      <c r="I64" s="147" t="s">
        <v>17</v>
      </c>
      <c r="J64" s="148" t="s">
        <v>207</v>
      </c>
      <c r="K64" s="148" t="s">
        <v>207</v>
      </c>
      <c r="L64" s="201">
        <v>1</v>
      </c>
      <c r="M64" s="189" t="s">
        <v>17</v>
      </c>
      <c r="N64" s="189" t="s">
        <v>17</v>
      </c>
      <c r="O64" s="215">
        <v>0</v>
      </c>
      <c r="P64" s="424"/>
    </row>
    <row r="65" spans="2:16" ht="48" customHeight="1">
      <c r="B65" s="19" t="s">
        <v>32</v>
      </c>
      <c r="C65" s="25" t="s">
        <v>35</v>
      </c>
      <c r="D65" s="20">
        <v>17</v>
      </c>
      <c r="E65" s="37">
        <v>29</v>
      </c>
      <c r="F65" s="87" t="s">
        <v>208</v>
      </c>
      <c r="G65" s="85" t="s">
        <v>209</v>
      </c>
      <c r="H65" s="146" t="s">
        <v>19</v>
      </c>
      <c r="I65" s="147" t="s">
        <v>218</v>
      </c>
      <c r="J65" s="148" t="s">
        <v>219</v>
      </c>
      <c r="K65" s="148" t="s">
        <v>219</v>
      </c>
      <c r="L65" s="201">
        <v>1</v>
      </c>
      <c r="M65" s="146" t="s">
        <v>19</v>
      </c>
      <c r="N65" s="146" t="s">
        <v>19</v>
      </c>
      <c r="O65" s="215">
        <v>1</v>
      </c>
      <c r="P65" s="425"/>
    </row>
    <row r="66" spans="2:16" ht="49.5" customHeight="1">
      <c r="B66" s="19" t="s">
        <v>32</v>
      </c>
      <c r="C66" s="149" t="s">
        <v>35</v>
      </c>
      <c r="D66" s="78">
        <v>17</v>
      </c>
      <c r="E66" s="31">
        <v>30</v>
      </c>
      <c r="F66" s="87" t="s">
        <v>210</v>
      </c>
      <c r="G66" s="85" t="s">
        <v>211</v>
      </c>
      <c r="H66" s="146" t="s">
        <v>225</v>
      </c>
      <c r="I66" s="147" t="s">
        <v>15</v>
      </c>
      <c r="J66" s="148" t="s">
        <v>194</v>
      </c>
      <c r="K66" s="148" t="s">
        <v>194</v>
      </c>
      <c r="L66" s="201">
        <v>1</v>
      </c>
      <c r="M66" s="146" t="s">
        <v>225</v>
      </c>
      <c r="N66" s="146" t="s">
        <v>225</v>
      </c>
      <c r="O66" s="215">
        <v>1</v>
      </c>
      <c r="P66" s="56"/>
    </row>
    <row r="67" spans="2:16" ht="74.25" customHeight="1">
      <c r="B67" s="19" t="s">
        <v>32</v>
      </c>
      <c r="C67" s="25" t="s">
        <v>35</v>
      </c>
      <c r="D67" s="20">
        <v>17</v>
      </c>
      <c r="E67" s="31">
        <v>31</v>
      </c>
      <c r="F67" s="87" t="s">
        <v>212</v>
      </c>
      <c r="G67" s="85" t="s">
        <v>213</v>
      </c>
      <c r="H67" s="146" t="s">
        <v>220</v>
      </c>
      <c r="I67" s="147" t="s">
        <v>220</v>
      </c>
      <c r="J67" s="148" t="s">
        <v>220</v>
      </c>
      <c r="K67" s="148" t="s">
        <v>220</v>
      </c>
      <c r="L67" s="201">
        <v>1</v>
      </c>
      <c r="M67" s="146" t="s">
        <v>220</v>
      </c>
      <c r="N67" s="146" t="s">
        <v>220</v>
      </c>
      <c r="O67" s="215">
        <v>1</v>
      </c>
      <c r="P67" s="57"/>
    </row>
    <row r="68" spans="2:16" ht="62.25" customHeight="1">
      <c r="B68" s="19" t="s">
        <v>32</v>
      </c>
      <c r="C68" s="149" t="s">
        <v>35</v>
      </c>
      <c r="D68" s="20">
        <v>17</v>
      </c>
      <c r="E68" s="31">
        <v>32</v>
      </c>
      <c r="F68" s="87" t="s">
        <v>214</v>
      </c>
      <c r="G68" s="85" t="s">
        <v>215</v>
      </c>
      <c r="H68" s="146" t="s">
        <v>222</v>
      </c>
      <c r="I68" s="147" t="s">
        <v>221</v>
      </c>
      <c r="J68" s="148" t="s">
        <v>222</v>
      </c>
      <c r="K68" s="148" t="s">
        <v>222</v>
      </c>
      <c r="L68" s="201">
        <v>1</v>
      </c>
      <c r="M68" s="146" t="s">
        <v>222</v>
      </c>
      <c r="N68" s="146" t="s">
        <v>222</v>
      </c>
      <c r="O68" s="215">
        <v>1</v>
      </c>
      <c r="P68" s="57"/>
    </row>
    <row r="69" spans="2:16" ht="51.75" customHeight="1">
      <c r="B69" s="19" t="s">
        <v>32</v>
      </c>
      <c r="C69" s="25" t="s">
        <v>35</v>
      </c>
      <c r="D69" s="78">
        <v>17</v>
      </c>
      <c r="E69" s="11">
        <v>33</v>
      </c>
      <c r="F69" s="87" t="s">
        <v>216</v>
      </c>
      <c r="G69" s="85" t="s">
        <v>217</v>
      </c>
      <c r="H69" s="189" t="s">
        <v>17</v>
      </c>
      <c r="I69" s="147" t="s">
        <v>223</v>
      </c>
      <c r="J69" s="148" t="s">
        <v>224</v>
      </c>
      <c r="K69" s="148" t="s">
        <v>224</v>
      </c>
      <c r="L69" s="201">
        <v>1</v>
      </c>
      <c r="M69" s="189" t="s">
        <v>17</v>
      </c>
      <c r="N69" s="189" t="s">
        <v>17</v>
      </c>
      <c r="O69" s="215">
        <v>0</v>
      </c>
      <c r="P69" s="58"/>
    </row>
    <row r="70" spans="2:16" ht="42.75">
      <c r="B70" s="19" t="s">
        <v>32</v>
      </c>
      <c r="C70" s="149" t="s">
        <v>35</v>
      </c>
      <c r="D70" s="20">
        <v>17</v>
      </c>
      <c r="E70" s="60">
        <v>34</v>
      </c>
      <c r="F70" s="87" t="s">
        <v>226</v>
      </c>
      <c r="G70" s="85" t="s">
        <v>227</v>
      </c>
      <c r="H70" s="146" t="s">
        <v>218</v>
      </c>
      <c r="I70" s="147" t="s">
        <v>218</v>
      </c>
      <c r="J70" s="148" t="s">
        <v>218</v>
      </c>
      <c r="K70" s="148" t="s">
        <v>218</v>
      </c>
      <c r="L70" s="201">
        <v>1</v>
      </c>
      <c r="M70" s="146" t="s">
        <v>218</v>
      </c>
      <c r="N70" s="146" t="s">
        <v>218</v>
      </c>
      <c r="O70" s="223">
        <v>1</v>
      </c>
      <c r="P70" s="58"/>
    </row>
    <row r="71" spans="2:16" ht="105" customHeight="1">
      <c r="B71" s="19" t="s">
        <v>32</v>
      </c>
      <c r="C71" s="149" t="s">
        <v>35</v>
      </c>
      <c r="D71" s="78">
        <v>17</v>
      </c>
      <c r="E71" s="25">
        <v>35</v>
      </c>
      <c r="F71" s="87" t="s">
        <v>228</v>
      </c>
      <c r="G71" s="85" t="s">
        <v>229</v>
      </c>
      <c r="H71" s="146" t="s">
        <v>170</v>
      </c>
      <c r="I71" s="147" t="s">
        <v>15</v>
      </c>
      <c r="J71" s="148" t="s">
        <v>232</v>
      </c>
      <c r="K71" s="148" t="s">
        <v>232</v>
      </c>
      <c r="L71" s="201">
        <v>1</v>
      </c>
      <c r="M71" s="146" t="s">
        <v>170</v>
      </c>
      <c r="N71" s="146" t="s">
        <v>170</v>
      </c>
      <c r="O71" s="223">
        <v>1</v>
      </c>
      <c r="P71" s="61"/>
    </row>
    <row r="72" spans="2:16" ht="48" customHeight="1">
      <c r="B72" s="19" t="s">
        <v>32</v>
      </c>
      <c r="C72" s="25" t="s">
        <v>35</v>
      </c>
      <c r="D72" s="20">
        <v>17</v>
      </c>
      <c r="E72" s="27">
        <v>37</v>
      </c>
      <c r="F72" s="87" t="s">
        <v>230</v>
      </c>
      <c r="G72" s="85" t="s">
        <v>231</v>
      </c>
      <c r="H72" s="146" t="s">
        <v>234</v>
      </c>
      <c r="I72" s="147" t="s">
        <v>233</v>
      </c>
      <c r="J72" s="148" t="s">
        <v>234</v>
      </c>
      <c r="K72" s="148" t="s">
        <v>234</v>
      </c>
      <c r="L72" s="201">
        <v>1</v>
      </c>
      <c r="M72" s="146" t="s">
        <v>234</v>
      </c>
      <c r="N72" s="146" t="s">
        <v>234</v>
      </c>
      <c r="O72" s="223">
        <v>1</v>
      </c>
      <c r="P72" s="62"/>
    </row>
    <row r="73" spans="2:16" ht="42.75">
      <c r="B73" s="19" t="s">
        <v>32</v>
      </c>
      <c r="C73" s="149" t="s">
        <v>35</v>
      </c>
      <c r="D73" s="78">
        <v>17</v>
      </c>
      <c r="E73" s="63">
        <v>38</v>
      </c>
      <c r="F73" s="87" t="s">
        <v>235</v>
      </c>
      <c r="G73" s="85" t="s">
        <v>236</v>
      </c>
      <c r="H73" s="206" t="s">
        <v>67</v>
      </c>
      <c r="I73" s="147" t="s">
        <v>17</v>
      </c>
      <c r="J73" s="207" t="s">
        <v>67</v>
      </c>
      <c r="K73" s="207" t="s">
        <v>67</v>
      </c>
      <c r="L73" s="201">
        <v>1</v>
      </c>
      <c r="M73" s="206" t="s">
        <v>67</v>
      </c>
      <c r="N73" s="206" t="s">
        <v>67</v>
      </c>
      <c r="O73" s="223">
        <v>1</v>
      </c>
      <c r="P73" s="64"/>
    </row>
    <row r="74" spans="2:16" ht="42.75">
      <c r="B74" s="19" t="s">
        <v>32</v>
      </c>
      <c r="C74" s="25" t="s">
        <v>35</v>
      </c>
      <c r="D74" s="20">
        <v>17</v>
      </c>
      <c r="E74" s="180">
        <v>39</v>
      </c>
      <c r="F74" s="87" t="s">
        <v>237</v>
      </c>
      <c r="G74" s="85" t="s">
        <v>238</v>
      </c>
      <c r="H74" s="146" t="s">
        <v>246</v>
      </c>
      <c r="I74" s="147" t="s">
        <v>17</v>
      </c>
      <c r="J74" s="148" t="s">
        <v>246</v>
      </c>
      <c r="K74" s="148" t="s">
        <v>246</v>
      </c>
      <c r="L74" s="201">
        <v>1</v>
      </c>
      <c r="M74" s="146" t="s">
        <v>246</v>
      </c>
      <c r="N74" s="146" t="s">
        <v>246</v>
      </c>
      <c r="O74" s="223">
        <v>1</v>
      </c>
      <c r="P74" s="202"/>
    </row>
    <row r="75" spans="2:16" ht="28.5">
      <c r="B75" s="19" t="s">
        <v>32</v>
      </c>
      <c r="C75" s="149" t="s">
        <v>35</v>
      </c>
      <c r="D75" s="78">
        <v>17</v>
      </c>
      <c r="E75" s="72">
        <v>42</v>
      </c>
      <c r="F75" s="208" t="s">
        <v>239</v>
      </c>
      <c r="G75" s="85" t="s">
        <v>240</v>
      </c>
      <c r="H75" s="209" t="s">
        <v>219</v>
      </c>
      <c r="I75" s="147" t="s">
        <v>17</v>
      </c>
      <c r="J75" s="210" t="s">
        <v>15</v>
      </c>
      <c r="K75" s="210" t="s">
        <v>15</v>
      </c>
      <c r="L75" s="201">
        <v>1</v>
      </c>
      <c r="M75" s="209" t="s">
        <v>219</v>
      </c>
      <c r="N75" s="209" t="s">
        <v>219</v>
      </c>
      <c r="O75" s="223">
        <v>1</v>
      </c>
      <c r="P75" s="203"/>
    </row>
    <row r="76" spans="2:16" ht="28.5">
      <c r="B76" s="19" t="s">
        <v>32</v>
      </c>
      <c r="C76" s="25" t="s">
        <v>35</v>
      </c>
      <c r="D76" s="20">
        <v>17</v>
      </c>
      <c r="E76" s="72">
        <v>43</v>
      </c>
      <c r="F76" s="208" t="s">
        <v>241</v>
      </c>
      <c r="G76" s="211" t="s">
        <v>250</v>
      </c>
      <c r="H76" s="209" t="s">
        <v>247</v>
      </c>
      <c r="I76" s="147" t="s">
        <v>17</v>
      </c>
      <c r="J76" s="210" t="s">
        <v>247</v>
      </c>
      <c r="K76" s="210" t="s">
        <v>247</v>
      </c>
      <c r="L76" s="201">
        <v>1</v>
      </c>
      <c r="M76" s="209" t="s">
        <v>247</v>
      </c>
      <c r="N76" s="209" t="s">
        <v>247</v>
      </c>
      <c r="O76" s="223">
        <v>1</v>
      </c>
      <c r="P76" s="204"/>
    </row>
    <row r="77" spans="2:16" ht="42.75">
      <c r="B77" s="19" t="s">
        <v>32</v>
      </c>
      <c r="C77" s="149" t="s">
        <v>35</v>
      </c>
      <c r="D77" s="78">
        <v>17</v>
      </c>
      <c r="E77" s="11">
        <v>44</v>
      </c>
      <c r="F77" s="208" t="s">
        <v>242</v>
      </c>
      <c r="G77" s="208" t="s">
        <v>243</v>
      </c>
      <c r="H77" s="209" t="s">
        <v>248</v>
      </c>
      <c r="I77" s="147" t="s">
        <v>17</v>
      </c>
      <c r="J77" s="210" t="s">
        <v>247</v>
      </c>
      <c r="K77" s="210" t="s">
        <v>247</v>
      </c>
      <c r="L77" s="201">
        <v>1</v>
      </c>
      <c r="M77" s="209" t="s">
        <v>248</v>
      </c>
      <c r="N77" s="209" t="s">
        <v>248</v>
      </c>
      <c r="O77" s="223">
        <v>1</v>
      </c>
      <c r="P77" s="34"/>
    </row>
    <row r="78" spans="2:16" ht="15">
      <c r="B78" s="19" t="s">
        <v>32</v>
      </c>
      <c r="C78" s="149" t="s">
        <v>35</v>
      </c>
      <c r="D78" s="78">
        <v>17</v>
      </c>
      <c r="E78" s="63">
        <v>45</v>
      </c>
      <c r="F78" s="212" t="s">
        <v>244</v>
      </c>
      <c r="G78" s="212" t="s">
        <v>245</v>
      </c>
      <c r="H78" s="209" t="s">
        <v>249</v>
      </c>
      <c r="I78" s="147" t="s">
        <v>17</v>
      </c>
      <c r="J78" s="213" t="s">
        <v>17</v>
      </c>
      <c r="K78" s="213" t="s">
        <v>17</v>
      </c>
      <c r="L78" s="201">
        <v>0</v>
      </c>
      <c r="M78" s="209" t="s">
        <v>249</v>
      </c>
      <c r="N78" s="209" t="s">
        <v>249</v>
      </c>
      <c r="O78" s="223">
        <v>1</v>
      </c>
      <c r="P78" s="32"/>
    </row>
    <row r="79" spans="2:16" ht="42.75">
      <c r="B79" s="19" t="s">
        <v>32</v>
      </c>
      <c r="C79" s="25" t="s">
        <v>35</v>
      </c>
      <c r="D79" s="20">
        <v>17</v>
      </c>
      <c r="E79" s="63">
        <v>46</v>
      </c>
      <c r="F79" s="212" t="s">
        <v>251</v>
      </c>
      <c r="G79" s="212" t="s">
        <v>252</v>
      </c>
      <c r="H79" s="216" t="s">
        <v>17</v>
      </c>
      <c r="I79" s="147" t="s">
        <v>17</v>
      </c>
      <c r="J79" s="210" t="s">
        <v>253</v>
      </c>
      <c r="K79" s="210" t="s">
        <v>253</v>
      </c>
      <c r="L79" s="130">
        <v>1</v>
      </c>
      <c r="M79" s="216" t="s">
        <v>17</v>
      </c>
      <c r="N79" s="216"/>
      <c r="O79" s="223">
        <v>0</v>
      </c>
      <c r="P79" s="32"/>
    </row>
    <row r="80" spans="2:16" ht="28.5">
      <c r="B80" s="19" t="s">
        <v>32</v>
      </c>
      <c r="C80" s="149" t="s">
        <v>35</v>
      </c>
      <c r="D80" s="78">
        <v>17</v>
      </c>
      <c r="E80" s="63">
        <v>47</v>
      </c>
      <c r="F80" s="208" t="s">
        <v>254</v>
      </c>
      <c r="G80" s="208" t="s">
        <v>255</v>
      </c>
      <c r="H80" s="209" t="s">
        <v>256</v>
      </c>
      <c r="I80" s="147" t="s">
        <v>17</v>
      </c>
      <c r="J80" s="213" t="s">
        <v>17</v>
      </c>
      <c r="K80" s="213" t="s">
        <v>17</v>
      </c>
      <c r="L80" s="201">
        <v>0</v>
      </c>
      <c r="M80" s="209" t="s">
        <v>256</v>
      </c>
      <c r="N80" s="209" t="s">
        <v>256</v>
      </c>
      <c r="O80" s="223">
        <v>0</v>
      </c>
      <c r="P80" s="32"/>
    </row>
    <row r="81" spans="2:16" ht="42.75">
      <c r="B81" s="19" t="s">
        <v>32</v>
      </c>
      <c r="C81" s="25" t="s">
        <v>35</v>
      </c>
      <c r="D81" s="20">
        <v>17</v>
      </c>
      <c r="E81" s="214">
        <v>48</v>
      </c>
      <c r="F81" s="208" t="s">
        <v>257</v>
      </c>
      <c r="G81" s="208" t="s">
        <v>258</v>
      </c>
      <c r="H81" s="209" t="s">
        <v>260</v>
      </c>
      <c r="I81" s="147" t="s">
        <v>17</v>
      </c>
      <c r="J81" s="210" t="s">
        <v>259</v>
      </c>
      <c r="K81" s="210" t="s">
        <v>259</v>
      </c>
      <c r="L81" s="199">
        <v>1</v>
      </c>
      <c r="M81" s="209" t="s">
        <v>260</v>
      </c>
      <c r="N81" s="209" t="s">
        <v>260</v>
      </c>
      <c r="O81" s="224">
        <v>1</v>
      </c>
      <c r="P81" s="427"/>
    </row>
    <row r="82" spans="2:16" ht="42.75">
      <c r="B82" s="19" t="s">
        <v>32</v>
      </c>
      <c r="C82" s="149" t="s">
        <v>35</v>
      </c>
      <c r="D82" s="78">
        <v>17</v>
      </c>
      <c r="E82" s="72">
        <v>49</v>
      </c>
      <c r="F82" s="208" t="s">
        <v>261</v>
      </c>
      <c r="G82" s="208" t="s">
        <v>262</v>
      </c>
      <c r="H82" s="209" t="s">
        <v>247</v>
      </c>
      <c r="I82" s="147" t="s">
        <v>17</v>
      </c>
      <c r="J82" s="210" t="s">
        <v>218</v>
      </c>
      <c r="K82" s="210" t="s">
        <v>218</v>
      </c>
      <c r="L82" s="199">
        <v>1</v>
      </c>
      <c r="M82" s="209" t="s">
        <v>247</v>
      </c>
      <c r="N82" s="209" t="s">
        <v>247</v>
      </c>
      <c r="O82" s="224">
        <v>1</v>
      </c>
      <c r="P82" s="428"/>
    </row>
    <row r="83" spans="2:16" ht="42.75">
      <c r="B83" s="19" t="s">
        <v>32</v>
      </c>
      <c r="C83" s="25" t="s">
        <v>35</v>
      </c>
      <c r="D83" s="20">
        <v>17</v>
      </c>
      <c r="E83" s="65">
        <v>50</v>
      </c>
      <c r="F83" s="208" t="s">
        <v>263</v>
      </c>
      <c r="G83" s="208" t="s">
        <v>264</v>
      </c>
      <c r="H83" s="216" t="s">
        <v>17</v>
      </c>
      <c r="I83" s="147" t="s">
        <v>17</v>
      </c>
      <c r="J83" s="213" t="s">
        <v>17</v>
      </c>
      <c r="K83" s="213" t="s">
        <v>17</v>
      </c>
      <c r="L83" s="201">
        <v>0</v>
      </c>
      <c r="M83" s="216" t="s">
        <v>17</v>
      </c>
      <c r="N83" s="216" t="s">
        <v>17</v>
      </c>
      <c r="O83" s="223">
        <v>0</v>
      </c>
      <c r="P83" s="66"/>
    </row>
    <row r="84" spans="2:16" ht="42.75">
      <c r="B84" s="19" t="s">
        <v>32</v>
      </c>
      <c r="C84" s="149" t="s">
        <v>35</v>
      </c>
      <c r="D84" s="78">
        <v>17</v>
      </c>
      <c r="E84" s="20">
        <v>51</v>
      </c>
      <c r="F84" s="208" t="s">
        <v>265</v>
      </c>
      <c r="G84" s="208" t="s">
        <v>266</v>
      </c>
      <c r="H84" s="216" t="s">
        <v>17</v>
      </c>
      <c r="I84" s="147" t="s">
        <v>17</v>
      </c>
      <c r="J84" s="213" t="s">
        <v>17</v>
      </c>
      <c r="K84" s="213" t="s">
        <v>17</v>
      </c>
      <c r="L84" s="201">
        <v>0</v>
      </c>
      <c r="M84" s="216" t="s">
        <v>17</v>
      </c>
      <c r="N84" s="216" t="s">
        <v>17</v>
      </c>
      <c r="O84" s="223">
        <v>0</v>
      </c>
      <c r="P84" s="22"/>
    </row>
    <row r="85" spans="2:16" ht="42.75">
      <c r="B85" s="19" t="s">
        <v>32</v>
      </c>
      <c r="C85" s="25" t="s">
        <v>35</v>
      </c>
      <c r="D85" s="20">
        <v>17</v>
      </c>
      <c r="E85" s="180">
        <v>52</v>
      </c>
      <c r="F85" s="208" t="s">
        <v>267</v>
      </c>
      <c r="G85" s="217" t="s">
        <v>269</v>
      </c>
      <c r="H85" s="209" t="s">
        <v>268</v>
      </c>
      <c r="I85" s="147" t="s">
        <v>17</v>
      </c>
      <c r="J85" s="210" t="s">
        <v>247</v>
      </c>
      <c r="K85" s="210" t="s">
        <v>247</v>
      </c>
      <c r="L85" s="199">
        <v>1</v>
      </c>
      <c r="M85" s="209" t="s">
        <v>268</v>
      </c>
      <c r="N85" s="209" t="s">
        <v>268</v>
      </c>
      <c r="O85" s="224">
        <v>1</v>
      </c>
      <c r="P85" s="67"/>
    </row>
    <row r="86" spans="2:16" ht="86.25" customHeight="1">
      <c r="B86" s="19" t="s">
        <v>32</v>
      </c>
      <c r="C86" s="149" t="s">
        <v>35</v>
      </c>
      <c r="D86" s="78">
        <v>17</v>
      </c>
      <c r="E86" s="72">
        <v>53</v>
      </c>
      <c r="F86" s="208" t="s">
        <v>270</v>
      </c>
      <c r="G86" s="211" t="s">
        <v>273</v>
      </c>
      <c r="H86" s="209" t="s">
        <v>272</v>
      </c>
      <c r="I86" s="147" t="s">
        <v>17</v>
      </c>
      <c r="J86" s="210" t="s">
        <v>271</v>
      </c>
      <c r="K86" s="210" t="s">
        <v>271</v>
      </c>
      <c r="L86" s="199">
        <v>1</v>
      </c>
      <c r="M86" s="209" t="s">
        <v>272</v>
      </c>
      <c r="N86" s="209" t="s">
        <v>272</v>
      </c>
      <c r="O86" s="224">
        <v>1</v>
      </c>
      <c r="P86" s="68"/>
    </row>
    <row r="87" spans="2:16" ht="43.5" customHeight="1">
      <c r="B87" s="19" t="s">
        <v>32</v>
      </c>
      <c r="C87" s="25" t="s">
        <v>35</v>
      </c>
      <c r="D87" s="20">
        <v>17</v>
      </c>
      <c r="E87" s="72">
        <v>54</v>
      </c>
      <c r="F87" s="208" t="s">
        <v>274</v>
      </c>
      <c r="G87" s="211" t="s">
        <v>275</v>
      </c>
      <c r="H87" s="209" t="s">
        <v>276</v>
      </c>
      <c r="I87" s="147" t="s">
        <v>17</v>
      </c>
      <c r="J87" s="210" t="s">
        <v>249</v>
      </c>
      <c r="K87" s="210" t="s">
        <v>249</v>
      </c>
      <c r="L87" s="199">
        <v>1</v>
      </c>
      <c r="M87" s="209" t="s">
        <v>276</v>
      </c>
      <c r="N87" s="209" t="s">
        <v>276</v>
      </c>
      <c r="O87" s="224">
        <v>1</v>
      </c>
      <c r="P87" s="69"/>
    </row>
    <row r="88" spans="2:16" ht="42.75">
      <c r="B88" s="19" t="s">
        <v>32</v>
      </c>
      <c r="C88" s="149" t="s">
        <v>35</v>
      </c>
      <c r="D88" s="78">
        <v>17</v>
      </c>
      <c r="E88" s="72">
        <v>55</v>
      </c>
      <c r="F88" s="208" t="s">
        <v>277</v>
      </c>
      <c r="G88" s="211" t="s">
        <v>278</v>
      </c>
      <c r="H88" s="216" t="s">
        <v>17</v>
      </c>
      <c r="I88" s="147" t="s">
        <v>17</v>
      </c>
      <c r="J88" s="213" t="s">
        <v>17</v>
      </c>
      <c r="K88" s="213" t="s">
        <v>17</v>
      </c>
      <c r="L88" s="201">
        <v>0</v>
      </c>
      <c r="M88" s="216" t="s">
        <v>17</v>
      </c>
      <c r="N88" s="216" t="s">
        <v>17</v>
      </c>
      <c r="O88" s="223">
        <v>0</v>
      </c>
      <c r="P88" s="70"/>
    </row>
    <row r="89" spans="2:16" ht="42.75">
      <c r="B89" s="19" t="s">
        <v>32</v>
      </c>
      <c r="C89" s="149" t="s">
        <v>35</v>
      </c>
      <c r="D89" s="78">
        <v>17</v>
      </c>
      <c r="E89" s="72">
        <v>56</v>
      </c>
      <c r="F89" s="208" t="s">
        <v>279</v>
      </c>
      <c r="G89" s="211" t="s">
        <v>280</v>
      </c>
      <c r="H89" s="209" t="s">
        <v>219</v>
      </c>
      <c r="I89" s="147" t="s">
        <v>17</v>
      </c>
      <c r="J89" s="213" t="s">
        <v>17</v>
      </c>
      <c r="K89" s="213" t="s">
        <v>17</v>
      </c>
      <c r="L89" s="201">
        <v>0</v>
      </c>
      <c r="M89" s="209" t="s">
        <v>219</v>
      </c>
      <c r="N89" s="209" t="s">
        <v>219</v>
      </c>
      <c r="O89" s="224">
        <v>1</v>
      </c>
      <c r="P89" s="70"/>
    </row>
    <row r="90" spans="2:16" ht="36" customHeight="1">
      <c r="B90" s="19" t="s">
        <v>32</v>
      </c>
      <c r="C90" s="25" t="s">
        <v>35</v>
      </c>
      <c r="D90" s="20">
        <v>17</v>
      </c>
      <c r="E90" s="72">
        <v>57</v>
      </c>
      <c r="F90" s="208" t="s">
        <v>281</v>
      </c>
      <c r="G90" s="208" t="s">
        <v>282</v>
      </c>
      <c r="H90" s="216" t="s">
        <v>17</v>
      </c>
      <c r="I90" s="147" t="s">
        <v>17</v>
      </c>
      <c r="J90" s="210" t="s">
        <v>283</v>
      </c>
      <c r="K90" s="210" t="s">
        <v>283</v>
      </c>
      <c r="L90" s="199">
        <v>1</v>
      </c>
      <c r="M90" s="216" t="s">
        <v>17</v>
      </c>
      <c r="N90" s="216" t="s">
        <v>17</v>
      </c>
      <c r="O90" s="223">
        <v>0</v>
      </c>
      <c r="P90" s="71"/>
    </row>
    <row r="91" spans="2:16" ht="45" customHeight="1">
      <c r="B91" s="19" t="s">
        <v>32</v>
      </c>
      <c r="C91" s="149" t="s">
        <v>35</v>
      </c>
      <c r="D91" s="78">
        <v>17</v>
      </c>
      <c r="E91" s="14"/>
      <c r="F91" s="87" t="s">
        <v>284</v>
      </c>
      <c r="G91" s="87" t="s">
        <v>285</v>
      </c>
      <c r="H91" s="146" t="s">
        <v>286</v>
      </c>
      <c r="I91" s="147" t="s">
        <v>17</v>
      </c>
      <c r="J91" s="164" t="s">
        <v>17</v>
      </c>
      <c r="K91" s="164" t="s">
        <v>17</v>
      </c>
      <c r="L91" s="201">
        <v>0</v>
      </c>
      <c r="M91" s="146" t="s">
        <v>286</v>
      </c>
      <c r="N91" s="146" t="s">
        <v>286</v>
      </c>
      <c r="O91" s="224">
        <v>1</v>
      </c>
      <c r="P91" s="28"/>
    </row>
    <row r="92" spans="2:16" ht="42.75">
      <c r="B92" s="19" t="s">
        <v>32</v>
      </c>
      <c r="C92" s="25" t="s">
        <v>35</v>
      </c>
      <c r="D92" s="20">
        <v>17</v>
      </c>
      <c r="E92" s="14"/>
      <c r="F92" s="87" t="s">
        <v>287</v>
      </c>
      <c r="G92" s="218" t="s">
        <v>288</v>
      </c>
      <c r="H92" s="146" t="s">
        <v>289</v>
      </c>
      <c r="I92" s="147" t="s">
        <v>17</v>
      </c>
      <c r="J92" s="148" t="s">
        <v>17</v>
      </c>
      <c r="K92" s="148" t="s">
        <v>17</v>
      </c>
      <c r="L92" s="201">
        <v>0</v>
      </c>
      <c r="M92" s="146" t="s">
        <v>289</v>
      </c>
      <c r="N92" s="146" t="s">
        <v>289</v>
      </c>
      <c r="O92" s="224">
        <v>1</v>
      </c>
      <c r="P92" s="28"/>
    </row>
    <row r="93" spans="2:16" ht="47.25" customHeight="1">
      <c r="B93" s="19" t="s">
        <v>32</v>
      </c>
      <c r="C93" s="149" t="s">
        <v>35</v>
      </c>
      <c r="D93" s="78">
        <v>17</v>
      </c>
      <c r="E93" s="14"/>
      <c r="F93" s="87" t="s">
        <v>290</v>
      </c>
      <c r="G93" s="87" t="s">
        <v>291</v>
      </c>
      <c r="H93" s="189" t="s">
        <v>17</v>
      </c>
      <c r="I93" s="147" t="s">
        <v>17</v>
      </c>
      <c r="J93" s="148" t="s">
        <v>17</v>
      </c>
      <c r="K93" s="148" t="s">
        <v>17</v>
      </c>
      <c r="L93" s="201">
        <v>0</v>
      </c>
      <c r="M93" s="189" t="s">
        <v>17</v>
      </c>
      <c r="N93" s="189" t="s">
        <v>17</v>
      </c>
      <c r="O93" s="223">
        <v>0</v>
      </c>
      <c r="P93" s="28"/>
    </row>
    <row r="94" spans="2:16" ht="56.25" customHeight="1">
      <c r="B94" s="19" t="s">
        <v>32</v>
      </c>
      <c r="C94" s="25" t="s">
        <v>35</v>
      </c>
      <c r="D94" s="20">
        <v>17</v>
      </c>
      <c r="E94" s="38"/>
      <c r="F94" s="87" t="s">
        <v>292</v>
      </c>
      <c r="G94" s="87" t="s">
        <v>293</v>
      </c>
      <c r="H94" s="219" t="s">
        <v>294</v>
      </c>
      <c r="I94" s="147" t="s">
        <v>17</v>
      </c>
      <c r="J94" s="148" t="s">
        <v>17</v>
      </c>
      <c r="K94" s="148" t="s">
        <v>17</v>
      </c>
      <c r="L94" s="201">
        <v>0</v>
      </c>
      <c r="M94" s="219" t="s">
        <v>294</v>
      </c>
      <c r="N94" s="219" t="s">
        <v>294</v>
      </c>
      <c r="O94" s="224">
        <v>1</v>
      </c>
      <c r="P94" s="55"/>
    </row>
    <row r="95" spans="2:16" ht="45" customHeight="1">
      <c r="B95" s="19" t="s">
        <v>32</v>
      </c>
      <c r="C95" s="149" t="s">
        <v>35</v>
      </c>
      <c r="D95" s="78">
        <v>17</v>
      </c>
      <c r="E95" s="38"/>
      <c r="F95" s="87" t="s">
        <v>295</v>
      </c>
      <c r="G95" s="87" t="s">
        <v>296</v>
      </c>
      <c r="H95" s="146" t="s">
        <v>218</v>
      </c>
      <c r="I95" s="147" t="s">
        <v>17</v>
      </c>
      <c r="J95" s="220" t="s">
        <v>17</v>
      </c>
      <c r="K95" s="148" t="s">
        <v>17</v>
      </c>
      <c r="L95" s="201">
        <v>0</v>
      </c>
      <c r="M95" s="146" t="s">
        <v>218</v>
      </c>
      <c r="N95" s="146" t="s">
        <v>218</v>
      </c>
      <c r="O95" s="224">
        <v>1</v>
      </c>
      <c r="P95" s="55"/>
    </row>
    <row r="96" spans="2:16" ht="35.25" customHeight="1">
      <c r="B96" s="19" t="s">
        <v>32</v>
      </c>
      <c r="C96" s="25" t="s">
        <v>35</v>
      </c>
      <c r="D96" s="20">
        <v>17</v>
      </c>
      <c r="E96" s="186"/>
      <c r="F96" s="87" t="s">
        <v>297</v>
      </c>
      <c r="G96" s="87" t="s">
        <v>298</v>
      </c>
      <c r="H96" s="146" t="s">
        <v>190</v>
      </c>
      <c r="I96" s="221" t="s">
        <v>17</v>
      </c>
      <c r="J96" s="148" t="s">
        <v>17</v>
      </c>
      <c r="K96" s="117"/>
      <c r="L96" s="195">
        <v>0</v>
      </c>
      <c r="M96" s="146" t="s">
        <v>190</v>
      </c>
      <c r="N96" s="146" t="s">
        <v>190</v>
      </c>
      <c r="O96" s="215">
        <v>1</v>
      </c>
      <c r="P96" s="414"/>
    </row>
    <row r="97" spans="2:16" ht="60.75" customHeight="1">
      <c r="B97" s="19" t="s">
        <v>32</v>
      </c>
      <c r="C97" s="149" t="s">
        <v>35</v>
      </c>
      <c r="D97" s="78">
        <v>17</v>
      </c>
      <c r="E97" s="186"/>
      <c r="F97" s="87" t="s">
        <v>299</v>
      </c>
      <c r="G97" s="87" t="s">
        <v>300</v>
      </c>
      <c r="H97" s="146" t="s">
        <v>219</v>
      </c>
      <c r="I97" s="147" t="s">
        <v>17</v>
      </c>
      <c r="J97" s="148" t="s">
        <v>17</v>
      </c>
      <c r="K97" s="148" t="s">
        <v>17</v>
      </c>
      <c r="L97" s="195">
        <v>0</v>
      </c>
      <c r="M97" s="146" t="s">
        <v>219</v>
      </c>
      <c r="N97" s="146" t="s">
        <v>219</v>
      </c>
      <c r="O97" s="215">
        <v>1</v>
      </c>
      <c r="P97" s="415"/>
    </row>
    <row r="98" spans="2:16" ht="32.25" customHeight="1">
      <c r="B98" s="19" t="s">
        <v>32</v>
      </c>
      <c r="C98" s="25" t="s">
        <v>35</v>
      </c>
      <c r="D98" s="20">
        <v>17</v>
      </c>
      <c r="E98" s="14"/>
      <c r="F98" s="87" t="s">
        <v>301</v>
      </c>
      <c r="G98" s="87" t="s">
        <v>302</v>
      </c>
      <c r="H98" s="146" t="s">
        <v>303</v>
      </c>
      <c r="I98" s="147" t="s">
        <v>17</v>
      </c>
      <c r="J98" s="148" t="s">
        <v>17</v>
      </c>
      <c r="K98" s="148" t="s">
        <v>17</v>
      </c>
      <c r="L98" s="195">
        <v>0</v>
      </c>
      <c r="M98" s="146" t="s">
        <v>303</v>
      </c>
      <c r="N98" s="146" t="s">
        <v>303</v>
      </c>
      <c r="O98" s="215">
        <v>1</v>
      </c>
      <c r="P98" s="28"/>
    </row>
    <row r="99" spans="2:16" ht="28.5">
      <c r="B99" s="19" t="s">
        <v>32</v>
      </c>
      <c r="C99" s="149" t="s">
        <v>35</v>
      </c>
      <c r="D99" s="78">
        <v>17</v>
      </c>
      <c r="E99" s="17"/>
      <c r="F99" s="87" t="s">
        <v>304</v>
      </c>
      <c r="G99" s="87" t="s">
        <v>305</v>
      </c>
      <c r="H99" s="146" t="s">
        <v>294</v>
      </c>
      <c r="I99" s="147" t="s">
        <v>17</v>
      </c>
      <c r="J99" s="148" t="s">
        <v>17</v>
      </c>
      <c r="K99" s="148" t="s">
        <v>17</v>
      </c>
      <c r="L99" s="195">
        <v>0</v>
      </c>
      <c r="M99" s="146" t="s">
        <v>294</v>
      </c>
      <c r="N99" s="146" t="s">
        <v>294</v>
      </c>
      <c r="O99" s="215">
        <v>1</v>
      </c>
      <c r="P99" s="28"/>
    </row>
    <row r="100" spans="2:16" ht="28.5">
      <c r="B100" s="19" t="s">
        <v>32</v>
      </c>
      <c r="C100" s="149" t="s">
        <v>35</v>
      </c>
      <c r="D100" s="78">
        <v>17</v>
      </c>
      <c r="E100" s="25"/>
      <c r="F100" s="87" t="s">
        <v>306</v>
      </c>
      <c r="G100" s="87" t="s">
        <v>307</v>
      </c>
      <c r="H100" s="146" t="s">
        <v>19</v>
      </c>
      <c r="I100" s="147" t="s">
        <v>17</v>
      </c>
      <c r="J100" s="148" t="s">
        <v>17</v>
      </c>
      <c r="K100" s="148" t="s">
        <v>17</v>
      </c>
      <c r="L100" s="195">
        <v>0</v>
      </c>
      <c r="M100" s="146" t="s">
        <v>19</v>
      </c>
      <c r="N100" s="146" t="s">
        <v>19</v>
      </c>
      <c r="O100" s="215">
        <v>1</v>
      </c>
      <c r="P100" s="28"/>
    </row>
    <row r="101" spans="2:16" ht="28.5">
      <c r="B101" s="19" t="s">
        <v>32</v>
      </c>
      <c r="C101" s="25" t="s">
        <v>35</v>
      </c>
      <c r="D101" s="20">
        <v>17</v>
      </c>
      <c r="E101" s="25"/>
      <c r="F101" s="87" t="s">
        <v>308</v>
      </c>
      <c r="G101" s="87" t="s">
        <v>309</v>
      </c>
      <c r="H101" s="146" t="s">
        <v>15</v>
      </c>
      <c r="I101" s="147" t="s">
        <v>17</v>
      </c>
      <c r="J101" s="148" t="s">
        <v>17</v>
      </c>
      <c r="K101" s="148" t="s">
        <v>17</v>
      </c>
      <c r="L101" s="195">
        <v>0</v>
      </c>
      <c r="M101" s="146" t="s">
        <v>15</v>
      </c>
      <c r="N101" s="146" t="s">
        <v>15</v>
      </c>
      <c r="O101" s="215">
        <v>1</v>
      </c>
      <c r="P101" s="28"/>
    </row>
    <row r="102" spans="2:16" ht="28.5">
      <c r="B102" s="19" t="s">
        <v>32</v>
      </c>
      <c r="C102" s="149" t="s">
        <v>35</v>
      </c>
      <c r="D102" s="78">
        <v>17</v>
      </c>
      <c r="E102" s="20"/>
      <c r="F102" s="87" t="s">
        <v>310</v>
      </c>
      <c r="G102" s="87" t="s">
        <v>311</v>
      </c>
      <c r="H102" s="219" t="s">
        <v>249</v>
      </c>
      <c r="I102" s="147" t="s">
        <v>17</v>
      </c>
      <c r="J102" s="148" t="s">
        <v>17</v>
      </c>
      <c r="K102" s="148" t="s">
        <v>17</v>
      </c>
      <c r="L102" s="195">
        <v>0</v>
      </c>
      <c r="M102" s="219" t="s">
        <v>249</v>
      </c>
      <c r="N102" s="219" t="s">
        <v>249</v>
      </c>
      <c r="O102" s="215">
        <v>1</v>
      </c>
      <c r="P102" s="66"/>
    </row>
    <row r="103" spans="2:16" ht="42.75">
      <c r="B103" s="19" t="s">
        <v>32</v>
      </c>
      <c r="C103" s="25" t="s">
        <v>35</v>
      </c>
      <c r="D103" s="20">
        <v>17</v>
      </c>
      <c r="E103" s="20"/>
      <c r="F103" s="87" t="s">
        <v>312</v>
      </c>
      <c r="G103" s="87" t="s">
        <v>313</v>
      </c>
      <c r="H103" s="219" t="s">
        <v>249</v>
      </c>
      <c r="I103" s="156" t="s">
        <v>17</v>
      </c>
      <c r="J103" s="148" t="s">
        <v>17</v>
      </c>
      <c r="K103" s="148" t="s">
        <v>17</v>
      </c>
      <c r="L103" s="195">
        <v>0</v>
      </c>
      <c r="M103" s="219" t="s">
        <v>249</v>
      </c>
      <c r="N103" s="219" t="s">
        <v>249</v>
      </c>
      <c r="O103" s="215">
        <v>1</v>
      </c>
      <c r="P103" s="66"/>
    </row>
  </sheetData>
  <mergeCells count="20">
    <mergeCell ref="P96:P97"/>
    <mergeCell ref="P53:P54"/>
    <mergeCell ref="P55:P56"/>
    <mergeCell ref="P6:P7"/>
    <mergeCell ref="B8:E8"/>
    <mergeCell ref="P64:P65"/>
    <mergeCell ref="P59:P63"/>
    <mergeCell ref="P81:P82"/>
    <mergeCell ref="B2:O2"/>
    <mergeCell ref="B3:O3"/>
    <mergeCell ref="B4:O4"/>
    <mergeCell ref="B5:O5"/>
    <mergeCell ref="B6:E7"/>
    <mergeCell ref="F6:F7"/>
    <mergeCell ref="G6:G7"/>
    <mergeCell ref="H6:H7"/>
    <mergeCell ref="I6:I7"/>
    <mergeCell ref="J6:L6"/>
    <mergeCell ref="M6:M7"/>
    <mergeCell ref="N6:O6"/>
  </mergeCells>
  <pageMargins left="0.78740157480314965" right="0.15748031496062992" top="0.23622047244094491" bottom="0.23622047244094491" header="0.15748031496062992" footer="0.15748031496062992"/>
  <pageSetup paperSize="9" scale="12" fitToHeight="6" orientation="landscape" horizontalDpi="4294967293" verticalDpi="300" r:id="rId1"/>
  <legacyDrawing r:id="rId2"/>
</worksheet>
</file>

<file path=xl/worksheets/sheet2.xml><?xml version="1.0" encoding="utf-8"?>
<worksheet xmlns="http://schemas.openxmlformats.org/spreadsheetml/2006/main" xmlns:r="http://schemas.openxmlformats.org/officeDocument/2006/relationships">
  <dimension ref="B1:CX117"/>
  <sheetViews>
    <sheetView tabSelected="1" view="pageBreakPreview" zoomScale="71" zoomScaleSheetLayoutView="71" workbookViewId="0">
      <pane ySplit="7" topLeftCell="A116" activePane="bottomLeft" state="frozen"/>
      <selection activeCell="B1" sqref="B1"/>
      <selection pane="bottomLeft" activeCell="B2" sqref="B2:Q117"/>
    </sheetView>
  </sheetViews>
  <sheetFormatPr defaultRowHeight="14.25"/>
  <cols>
    <col min="1" max="1" width="9.140625" style="1"/>
    <col min="2" max="2" width="5.42578125" style="1" customWidth="1"/>
    <col min="3" max="5" width="4.5703125" style="1" customWidth="1"/>
    <col min="6" max="6" width="5" style="1" customWidth="1"/>
    <col min="7" max="7" width="33.28515625" style="2" customWidth="1"/>
    <col min="8" max="8" width="32.140625" style="2" customWidth="1"/>
    <col min="9" max="9" width="17.140625" style="238" customWidth="1"/>
    <col min="10" max="10" width="16.28515625" style="238" customWidth="1"/>
    <col min="11" max="11" width="16.28515625" style="239" customWidth="1"/>
    <col min="12" max="12" width="16.28515625" style="238" customWidth="1"/>
    <col min="13" max="13" width="12.140625" style="238" customWidth="1"/>
    <col min="14" max="14" width="18.85546875" style="239" customWidth="1"/>
    <col min="15" max="15" width="18.28515625" style="239" customWidth="1"/>
    <col min="16" max="16" width="12.85546875" style="239" customWidth="1"/>
    <col min="17" max="17" width="13.7109375" style="1" customWidth="1"/>
    <col min="18" max="16384" width="9.140625" style="1"/>
  </cols>
  <sheetData>
    <row r="1" spans="2:17">
      <c r="I1" s="238" t="s">
        <v>314</v>
      </c>
    </row>
    <row r="2" spans="2:17" ht="18">
      <c r="B2" s="394" t="s">
        <v>0</v>
      </c>
      <c r="C2" s="394"/>
      <c r="D2" s="394"/>
      <c r="E2" s="394"/>
      <c r="F2" s="394"/>
      <c r="G2" s="394"/>
      <c r="H2" s="394"/>
      <c r="I2" s="394"/>
      <c r="J2" s="394"/>
      <c r="K2" s="394"/>
      <c r="L2" s="394"/>
      <c r="M2" s="394"/>
      <c r="N2" s="394"/>
      <c r="O2" s="394"/>
      <c r="P2" s="394"/>
    </row>
    <row r="3" spans="2:17" ht="18">
      <c r="B3" s="394" t="s">
        <v>22</v>
      </c>
      <c r="C3" s="394"/>
      <c r="D3" s="394"/>
      <c r="E3" s="394"/>
      <c r="F3" s="394"/>
      <c r="G3" s="394"/>
      <c r="H3" s="394"/>
      <c r="I3" s="394"/>
      <c r="J3" s="394"/>
      <c r="K3" s="394"/>
      <c r="L3" s="394"/>
      <c r="M3" s="394"/>
      <c r="N3" s="394"/>
      <c r="O3" s="394"/>
      <c r="P3" s="394"/>
    </row>
    <row r="4" spans="2:17" ht="18">
      <c r="B4" s="394" t="s">
        <v>492</v>
      </c>
      <c r="C4" s="394"/>
      <c r="D4" s="394"/>
      <c r="E4" s="394"/>
      <c r="F4" s="394"/>
      <c r="G4" s="394"/>
      <c r="H4" s="394"/>
      <c r="I4" s="394"/>
      <c r="J4" s="394"/>
      <c r="K4" s="394"/>
      <c r="L4" s="394"/>
      <c r="M4" s="394"/>
      <c r="N4" s="394"/>
      <c r="O4" s="394"/>
      <c r="P4" s="394"/>
    </row>
    <row r="5" spans="2:17" ht="18.75" thickBot="1">
      <c r="B5" s="394"/>
      <c r="C5" s="394"/>
      <c r="D5" s="394"/>
      <c r="E5" s="394"/>
      <c r="F5" s="394"/>
      <c r="G5" s="394"/>
      <c r="H5" s="394"/>
      <c r="I5" s="394"/>
      <c r="J5" s="394"/>
      <c r="K5" s="394"/>
      <c r="L5" s="394"/>
      <c r="M5" s="394"/>
      <c r="N5" s="394"/>
      <c r="O5" s="394"/>
      <c r="P5" s="394"/>
    </row>
    <row r="6" spans="2:17" s="74" customFormat="1" ht="64.5" customHeight="1">
      <c r="B6" s="395" t="s">
        <v>1</v>
      </c>
      <c r="C6" s="396"/>
      <c r="D6" s="396"/>
      <c r="E6" s="396"/>
      <c r="F6" s="397"/>
      <c r="G6" s="401" t="s">
        <v>2</v>
      </c>
      <c r="H6" s="401" t="s">
        <v>21</v>
      </c>
      <c r="I6" s="429" t="s">
        <v>491</v>
      </c>
      <c r="J6" s="429" t="s">
        <v>493</v>
      </c>
      <c r="K6" s="431" t="s">
        <v>494</v>
      </c>
      <c r="L6" s="432"/>
      <c r="M6" s="433"/>
      <c r="N6" s="434" t="s">
        <v>497</v>
      </c>
      <c r="O6" s="436" t="s">
        <v>498</v>
      </c>
      <c r="P6" s="437"/>
      <c r="Q6" s="419" t="s">
        <v>3</v>
      </c>
    </row>
    <row r="7" spans="2:17" s="74" customFormat="1" ht="99" customHeight="1">
      <c r="B7" s="398"/>
      <c r="C7" s="399"/>
      <c r="D7" s="399"/>
      <c r="E7" s="399"/>
      <c r="F7" s="400"/>
      <c r="G7" s="402"/>
      <c r="H7" s="402"/>
      <c r="I7" s="430"/>
      <c r="J7" s="430"/>
      <c r="K7" s="225" t="s">
        <v>495</v>
      </c>
      <c r="L7" s="226" t="s">
        <v>496</v>
      </c>
      <c r="M7" s="226" t="s">
        <v>4</v>
      </c>
      <c r="N7" s="435"/>
      <c r="O7" s="227" t="s">
        <v>499</v>
      </c>
      <c r="P7" s="227" t="s">
        <v>5</v>
      </c>
      <c r="Q7" s="420"/>
    </row>
    <row r="8" spans="2:17" ht="24" customHeight="1">
      <c r="B8" s="421">
        <v>1</v>
      </c>
      <c r="C8" s="422"/>
      <c r="D8" s="422"/>
      <c r="E8" s="422"/>
      <c r="F8" s="423"/>
      <c r="G8" s="3">
        <v>2</v>
      </c>
      <c r="H8" s="3">
        <v>3</v>
      </c>
      <c r="I8" s="228">
        <v>4</v>
      </c>
      <c r="J8" s="228">
        <v>5</v>
      </c>
      <c r="K8" s="229" t="s">
        <v>6</v>
      </c>
      <c r="L8" s="241" t="s">
        <v>7</v>
      </c>
      <c r="M8" s="228" t="s">
        <v>8</v>
      </c>
      <c r="N8" s="230">
        <v>9</v>
      </c>
      <c r="O8" s="230" t="s">
        <v>9</v>
      </c>
      <c r="P8" s="230" t="s">
        <v>10</v>
      </c>
      <c r="Q8" s="4">
        <v>12</v>
      </c>
    </row>
    <row r="9" spans="2:17" ht="24.75" customHeight="1">
      <c r="B9" s="82">
        <v>1</v>
      </c>
      <c r="C9" s="81"/>
      <c r="D9" s="81"/>
      <c r="E9" s="81"/>
      <c r="F9" s="81"/>
      <c r="G9" s="6" t="s">
        <v>11</v>
      </c>
      <c r="H9" s="7"/>
      <c r="I9" s="231"/>
      <c r="J9" s="231"/>
      <c r="K9" s="232"/>
      <c r="L9" s="231"/>
      <c r="M9" s="231"/>
      <c r="N9" s="233"/>
      <c r="O9" s="232"/>
      <c r="P9" s="232"/>
      <c r="Q9" s="8"/>
    </row>
    <row r="10" spans="2:17" ht="73.5" customHeight="1">
      <c r="B10" s="82">
        <v>3</v>
      </c>
      <c r="C10" s="245" t="s">
        <v>36</v>
      </c>
      <c r="D10" s="245" t="s">
        <v>45</v>
      </c>
      <c r="E10" s="81"/>
      <c r="F10" s="81"/>
      <c r="G10" s="9" t="s">
        <v>695</v>
      </c>
      <c r="H10" s="7"/>
      <c r="I10" s="231"/>
      <c r="J10" s="240"/>
      <c r="K10" s="233"/>
      <c r="L10" s="231"/>
      <c r="M10" s="231"/>
      <c r="N10" s="234"/>
      <c r="O10" s="232"/>
      <c r="P10" s="232"/>
      <c r="Q10" s="8"/>
    </row>
    <row r="11" spans="2:17" ht="43.5" customHeight="1">
      <c r="B11" s="5" t="s">
        <v>32</v>
      </c>
      <c r="C11" s="81">
        <v>5</v>
      </c>
      <c r="D11" s="81"/>
      <c r="E11" s="81"/>
      <c r="F11" s="81"/>
      <c r="G11" s="9" t="s">
        <v>694</v>
      </c>
      <c r="H11" s="7"/>
      <c r="I11" s="231"/>
      <c r="J11" s="240"/>
      <c r="K11" s="235"/>
      <c r="L11" s="242"/>
      <c r="M11" s="236"/>
      <c r="N11" s="233"/>
      <c r="O11" s="232"/>
      <c r="P11" s="237"/>
      <c r="Q11" s="10"/>
    </row>
    <row r="12" spans="2:17" ht="15">
      <c r="B12" s="5"/>
      <c r="C12" s="81"/>
      <c r="D12" s="81"/>
      <c r="E12" s="81"/>
      <c r="F12" s="81"/>
      <c r="G12" s="9"/>
      <c r="H12" s="7"/>
      <c r="I12" s="231"/>
      <c r="J12" s="231"/>
      <c r="K12" s="234"/>
      <c r="L12" s="231"/>
      <c r="M12" s="231"/>
      <c r="N12" s="233"/>
      <c r="O12" s="232"/>
      <c r="P12" s="232"/>
      <c r="Q12" s="8"/>
    </row>
    <row r="13" spans="2:17" ht="58.5" customHeight="1">
      <c r="B13" s="247">
        <v>3</v>
      </c>
      <c r="C13" s="248">
        <v>1</v>
      </c>
      <c r="D13" s="249" t="s">
        <v>45</v>
      </c>
      <c r="E13" s="249" t="s">
        <v>36</v>
      </c>
      <c r="F13" s="249"/>
      <c r="G13" s="9" t="s">
        <v>12</v>
      </c>
      <c r="H13" s="250" t="s">
        <v>398</v>
      </c>
      <c r="I13" s="251" t="s">
        <v>441</v>
      </c>
      <c r="J13" s="251" t="s">
        <v>457</v>
      </c>
      <c r="K13" s="252" t="s">
        <v>18</v>
      </c>
      <c r="L13" s="251" t="s">
        <v>18</v>
      </c>
      <c r="M13" s="251">
        <v>1</v>
      </c>
      <c r="N13" s="253" t="s">
        <v>18</v>
      </c>
      <c r="O13" s="252" t="s">
        <v>504</v>
      </c>
      <c r="P13" s="254">
        <f>SUM(48/60*100)</f>
        <v>80</v>
      </c>
      <c r="Q13" s="438"/>
    </row>
    <row r="14" spans="2:17" ht="58.5" customHeight="1">
      <c r="B14" s="255">
        <v>3</v>
      </c>
      <c r="C14" s="256">
        <v>1</v>
      </c>
      <c r="D14" s="257" t="s">
        <v>45</v>
      </c>
      <c r="E14" s="257" t="s">
        <v>36</v>
      </c>
      <c r="F14" s="258" t="s">
        <v>36</v>
      </c>
      <c r="G14" s="243" t="s">
        <v>40</v>
      </c>
      <c r="H14" s="259" t="s">
        <v>399</v>
      </c>
      <c r="I14" s="260" t="s">
        <v>315</v>
      </c>
      <c r="J14" s="261" t="s">
        <v>500</v>
      </c>
      <c r="K14" s="261" t="s">
        <v>501</v>
      </c>
      <c r="L14" s="261" t="s">
        <v>501</v>
      </c>
      <c r="M14" s="262">
        <v>1</v>
      </c>
      <c r="N14" s="260" t="s">
        <v>502</v>
      </c>
      <c r="O14" s="261" t="s">
        <v>503</v>
      </c>
      <c r="P14" s="263">
        <f>SUM((5350/9500*100)+(48/60*100))/2</f>
        <v>68.15789473684211</v>
      </c>
      <c r="Q14" s="439"/>
    </row>
    <row r="15" spans="2:17" ht="39.75" customHeight="1">
      <c r="B15" s="255">
        <v>3</v>
      </c>
      <c r="C15" s="256">
        <v>1</v>
      </c>
      <c r="D15" s="257" t="s">
        <v>45</v>
      </c>
      <c r="E15" s="257" t="s">
        <v>36</v>
      </c>
      <c r="F15" s="258" t="s">
        <v>42</v>
      </c>
      <c r="G15" s="264" t="s">
        <v>43</v>
      </c>
      <c r="H15" s="259" t="s">
        <v>400</v>
      </c>
      <c r="I15" s="265" t="s">
        <v>317</v>
      </c>
      <c r="J15" s="262" t="s">
        <v>457</v>
      </c>
      <c r="K15" s="261" t="s">
        <v>18</v>
      </c>
      <c r="L15" s="262" t="s">
        <v>18</v>
      </c>
      <c r="M15" s="262">
        <v>1</v>
      </c>
      <c r="N15" s="261" t="s">
        <v>18</v>
      </c>
      <c r="O15" s="261" t="s">
        <v>504</v>
      </c>
      <c r="P15" s="263">
        <f>SUM(48/60*100)</f>
        <v>80</v>
      </c>
      <c r="Q15" s="439"/>
    </row>
    <row r="16" spans="2:17" ht="53.25" customHeight="1">
      <c r="B16" s="255">
        <v>3</v>
      </c>
      <c r="C16" s="256">
        <v>1</v>
      </c>
      <c r="D16" s="257" t="s">
        <v>45</v>
      </c>
      <c r="E16" s="257" t="s">
        <v>36</v>
      </c>
      <c r="F16" s="258" t="s">
        <v>38</v>
      </c>
      <c r="G16" s="266" t="s">
        <v>46</v>
      </c>
      <c r="H16" s="267" t="s">
        <v>401</v>
      </c>
      <c r="I16" s="268" t="s">
        <v>319</v>
      </c>
      <c r="J16" s="269" t="s">
        <v>505</v>
      </c>
      <c r="K16" s="269" t="s">
        <v>330</v>
      </c>
      <c r="L16" s="269" t="s">
        <v>506</v>
      </c>
      <c r="M16" s="262">
        <v>0.89180000000000004</v>
      </c>
      <c r="N16" s="268" t="s">
        <v>507</v>
      </c>
      <c r="O16" s="268" t="s">
        <v>508</v>
      </c>
      <c r="P16" s="263">
        <f>SUM((61/82*100)+(127/171*100))/2</f>
        <v>74.329624875196117</v>
      </c>
      <c r="Q16" s="439"/>
    </row>
    <row r="17" spans="2:102" ht="48" customHeight="1">
      <c r="B17" s="255">
        <v>3</v>
      </c>
      <c r="C17" s="256">
        <v>1</v>
      </c>
      <c r="D17" s="257" t="s">
        <v>45</v>
      </c>
      <c r="E17" s="257" t="s">
        <v>36</v>
      </c>
      <c r="F17" s="258" t="s">
        <v>53</v>
      </c>
      <c r="G17" s="270" t="s">
        <v>51</v>
      </c>
      <c r="H17" s="271" t="s">
        <v>402</v>
      </c>
      <c r="I17" s="268" t="s">
        <v>320</v>
      </c>
      <c r="J17" s="269" t="s">
        <v>509</v>
      </c>
      <c r="K17" s="269" t="s">
        <v>54</v>
      </c>
      <c r="L17" s="269" t="s">
        <v>54</v>
      </c>
      <c r="M17" s="262">
        <v>1</v>
      </c>
      <c r="N17" s="268" t="s">
        <v>54</v>
      </c>
      <c r="O17" s="268" t="s">
        <v>510</v>
      </c>
      <c r="P17" s="263">
        <f>SUM((10/7*100))</f>
        <v>142.85714285714286</v>
      </c>
      <c r="Q17" s="439"/>
    </row>
    <row r="18" spans="2:102" ht="48" customHeight="1">
      <c r="B18" s="255">
        <v>3</v>
      </c>
      <c r="C18" s="256">
        <v>1</v>
      </c>
      <c r="D18" s="257" t="s">
        <v>45</v>
      </c>
      <c r="E18" s="257" t="s">
        <v>36</v>
      </c>
      <c r="F18" s="258">
        <v>10</v>
      </c>
      <c r="G18" s="270" t="s">
        <v>56</v>
      </c>
      <c r="H18" s="271" t="s">
        <v>403</v>
      </c>
      <c r="I18" s="268" t="s">
        <v>317</v>
      </c>
      <c r="J18" s="268" t="s">
        <v>511</v>
      </c>
      <c r="K18" s="268" t="s">
        <v>18</v>
      </c>
      <c r="L18" s="268" t="s">
        <v>20</v>
      </c>
      <c r="M18" s="262">
        <v>1</v>
      </c>
      <c r="N18" s="268" t="s">
        <v>20</v>
      </c>
      <c r="O18" s="268" t="s">
        <v>512</v>
      </c>
      <c r="P18" s="263">
        <f>SUM(48/60*100)</f>
        <v>80</v>
      </c>
      <c r="Q18" s="439"/>
    </row>
    <row r="19" spans="2:102" ht="45" customHeight="1">
      <c r="B19" s="255">
        <v>3</v>
      </c>
      <c r="C19" s="256">
        <v>1</v>
      </c>
      <c r="D19" s="257" t="s">
        <v>45</v>
      </c>
      <c r="E19" s="257" t="s">
        <v>36</v>
      </c>
      <c r="F19" s="258">
        <v>11</v>
      </c>
      <c r="G19" s="270" t="s">
        <v>58</v>
      </c>
      <c r="H19" s="271" t="s">
        <v>404</v>
      </c>
      <c r="I19" s="268" t="s">
        <v>317</v>
      </c>
      <c r="J19" s="268" t="s">
        <v>511</v>
      </c>
      <c r="K19" s="268" t="s">
        <v>20</v>
      </c>
      <c r="L19" s="268" t="s">
        <v>20</v>
      </c>
      <c r="M19" s="262">
        <v>1</v>
      </c>
      <c r="N19" s="268" t="s">
        <v>20</v>
      </c>
      <c r="O19" s="268" t="s">
        <v>322</v>
      </c>
      <c r="P19" s="263">
        <f>SUM(48/60*100)</f>
        <v>80</v>
      </c>
      <c r="Q19" s="439"/>
    </row>
    <row r="20" spans="2:102" ht="54.75" customHeight="1">
      <c r="B20" s="255">
        <v>3</v>
      </c>
      <c r="C20" s="256">
        <v>1</v>
      </c>
      <c r="D20" s="257" t="s">
        <v>45</v>
      </c>
      <c r="E20" s="257" t="s">
        <v>36</v>
      </c>
      <c r="F20" s="258">
        <v>12</v>
      </c>
      <c r="G20" s="272" t="s">
        <v>60</v>
      </c>
      <c r="H20" s="273" t="s">
        <v>405</v>
      </c>
      <c r="I20" s="268" t="s">
        <v>321</v>
      </c>
      <c r="J20" s="269" t="s">
        <v>509</v>
      </c>
      <c r="K20" s="269" t="s">
        <v>54</v>
      </c>
      <c r="L20" s="269" t="s">
        <v>54</v>
      </c>
      <c r="M20" s="262">
        <v>1</v>
      </c>
      <c r="N20" s="268" t="s">
        <v>54</v>
      </c>
      <c r="O20" s="268" t="s">
        <v>513</v>
      </c>
      <c r="P20" s="263">
        <f>SUM(10/16*100)</f>
        <v>62.5</v>
      </c>
      <c r="Q20" s="440"/>
    </row>
    <row r="21" spans="2:102" ht="42" customHeight="1">
      <c r="B21" s="255">
        <v>3</v>
      </c>
      <c r="C21" s="256">
        <v>1</v>
      </c>
      <c r="D21" s="257" t="s">
        <v>45</v>
      </c>
      <c r="E21" s="257" t="s">
        <v>36</v>
      </c>
      <c r="F21" s="274">
        <v>14</v>
      </c>
      <c r="G21" s="272" t="s">
        <v>13</v>
      </c>
      <c r="H21" s="273" t="s">
        <v>406</v>
      </c>
      <c r="I21" s="268" t="s">
        <v>322</v>
      </c>
      <c r="J21" s="231" t="s">
        <v>18</v>
      </c>
      <c r="K21" s="234" t="s">
        <v>18</v>
      </c>
      <c r="L21" s="231" t="s">
        <v>18</v>
      </c>
      <c r="M21" s="265">
        <v>1</v>
      </c>
      <c r="N21" s="233" t="s">
        <v>18</v>
      </c>
      <c r="O21" s="232" t="s">
        <v>318</v>
      </c>
      <c r="P21" s="275">
        <f>SUM(36/48*100)</f>
        <v>75</v>
      </c>
      <c r="Q21" s="441"/>
    </row>
    <row r="22" spans="2:102" ht="45" customHeight="1">
      <c r="B22" s="255">
        <v>3</v>
      </c>
      <c r="C22" s="256">
        <v>1</v>
      </c>
      <c r="D22" s="257" t="s">
        <v>45</v>
      </c>
      <c r="E22" s="257" t="s">
        <v>36</v>
      </c>
      <c r="F22" s="276">
        <v>15</v>
      </c>
      <c r="G22" s="270" t="s">
        <v>63</v>
      </c>
      <c r="H22" s="271" t="s">
        <v>407</v>
      </c>
      <c r="I22" s="268" t="s">
        <v>316</v>
      </c>
      <c r="J22" s="269" t="s">
        <v>514</v>
      </c>
      <c r="K22" s="269" t="s">
        <v>65</v>
      </c>
      <c r="L22" s="269" t="s">
        <v>65</v>
      </c>
      <c r="M22" s="277">
        <v>1</v>
      </c>
      <c r="N22" s="278" t="s">
        <v>67</v>
      </c>
      <c r="O22" s="277" t="s">
        <v>515</v>
      </c>
      <c r="P22" s="279">
        <f>SUM(4/5*100)</f>
        <v>80</v>
      </c>
      <c r="Q22" s="438"/>
    </row>
    <row r="23" spans="2:102" ht="40.5" customHeight="1">
      <c r="B23" s="255">
        <v>3</v>
      </c>
      <c r="C23" s="256">
        <v>1</v>
      </c>
      <c r="D23" s="257" t="s">
        <v>45</v>
      </c>
      <c r="E23" s="257" t="s">
        <v>36</v>
      </c>
      <c r="F23" s="257">
        <v>17</v>
      </c>
      <c r="G23" s="270" t="s">
        <v>68</v>
      </c>
      <c r="H23" s="280" t="s">
        <v>408</v>
      </c>
      <c r="I23" s="268" t="s">
        <v>317</v>
      </c>
      <c r="J23" s="265" t="s">
        <v>457</v>
      </c>
      <c r="K23" s="277" t="s">
        <v>18</v>
      </c>
      <c r="L23" s="265" t="s">
        <v>18</v>
      </c>
      <c r="M23" s="265">
        <v>1</v>
      </c>
      <c r="N23" s="281" t="s">
        <v>18</v>
      </c>
      <c r="O23" s="265" t="s">
        <v>322</v>
      </c>
      <c r="P23" s="263">
        <f>SUM(48/60*100)</f>
        <v>80</v>
      </c>
      <c r="Q23" s="442"/>
    </row>
    <row r="24" spans="2:102" ht="45.75" customHeight="1">
      <c r="B24" s="255">
        <v>3</v>
      </c>
      <c r="C24" s="256">
        <v>1</v>
      </c>
      <c r="D24" s="257" t="s">
        <v>45</v>
      </c>
      <c r="E24" s="257" t="s">
        <v>36</v>
      </c>
      <c r="F24" s="257">
        <v>18</v>
      </c>
      <c r="G24" s="270" t="s">
        <v>70</v>
      </c>
      <c r="H24" s="271" t="s">
        <v>409</v>
      </c>
      <c r="I24" s="268" t="s">
        <v>317</v>
      </c>
      <c r="J24" s="265" t="s">
        <v>457</v>
      </c>
      <c r="K24" s="277" t="s">
        <v>18</v>
      </c>
      <c r="L24" s="265" t="s">
        <v>18</v>
      </c>
      <c r="M24" s="265">
        <v>1</v>
      </c>
      <c r="N24" s="281" t="s">
        <v>18</v>
      </c>
      <c r="O24" s="265" t="s">
        <v>322</v>
      </c>
      <c r="P24" s="263">
        <f>SUM(48/60*100)</f>
        <v>80</v>
      </c>
      <c r="Q24" s="439"/>
    </row>
    <row r="25" spans="2:102" ht="46.5" customHeight="1">
      <c r="B25" s="255">
        <v>3</v>
      </c>
      <c r="C25" s="256">
        <v>1</v>
      </c>
      <c r="D25" s="257" t="s">
        <v>45</v>
      </c>
      <c r="E25" s="257" t="s">
        <v>36</v>
      </c>
      <c r="F25" s="257">
        <v>19</v>
      </c>
      <c r="G25" s="270" t="s">
        <v>72</v>
      </c>
      <c r="H25" s="271" t="s">
        <v>410</v>
      </c>
      <c r="I25" s="268" t="s">
        <v>317</v>
      </c>
      <c r="J25" s="265" t="s">
        <v>457</v>
      </c>
      <c r="K25" s="277" t="s">
        <v>18</v>
      </c>
      <c r="L25" s="265" t="s">
        <v>18</v>
      </c>
      <c r="M25" s="265">
        <v>1</v>
      </c>
      <c r="N25" s="281" t="s">
        <v>18</v>
      </c>
      <c r="O25" s="265" t="s">
        <v>322</v>
      </c>
      <c r="P25" s="263">
        <f>SUM(48/60*100)</f>
        <v>80</v>
      </c>
      <c r="Q25" s="439"/>
    </row>
    <row r="26" spans="2:102" ht="66" customHeight="1">
      <c r="B26" s="247">
        <v>3</v>
      </c>
      <c r="C26" s="248">
        <v>1</v>
      </c>
      <c r="D26" s="249" t="s">
        <v>45</v>
      </c>
      <c r="E26" s="249" t="s">
        <v>42</v>
      </c>
      <c r="F26" s="257"/>
      <c r="G26" s="9" t="s">
        <v>14</v>
      </c>
      <c r="H26" s="250" t="s">
        <v>411</v>
      </c>
      <c r="I26" s="282" t="s">
        <v>441</v>
      </c>
      <c r="J26" s="283" t="s">
        <v>457</v>
      </c>
      <c r="K26" s="283" t="s">
        <v>18</v>
      </c>
      <c r="L26" s="283" t="s">
        <v>18</v>
      </c>
      <c r="M26" s="283">
        <v>1</v>
      </c>
      <c r="N26" s="283" t="s">
        <v>18</v>
      </c>
      <c r="O26" s="283" t="s">
        <v>504</v>
      </c>
      <c r="P26" s="284">
        <f>SUM(48/60*100)</f>
        <v>80</v>
      </c>
      <c r="Q26" s="443"/>
    </row>
    <row r="27" spans="2:102" ht="51" customHeight="1">
      <c r="B27" s="255">
        <v>3</v>
      </c>
      <c r="C27" s="256">
        <v>1</v>
      </c>
      <c r="D27" s="257" t="s">
        <v>45</v>
      </c>
      <c r="E27" s="257" t="s">
        <v>42</v>
      </c>
      <c r="F27" s="257" t="s">
        <v>35</v>
      </c>
      <c r="G27" s="270" t="s">
        <v>75</v>
      </c>
      <c r="H27" s="285" t="s">
        <v>412</v>
      </c>
      <c r="I27" s="268" t="s">
        <v>323</v>
      </c>
      <c r="J27" s="269" t="s">
        <v>516</v>
      </c>
      <c r="K27" s="269" t="s">
        <v>17</v>
      </c>
      <c r="L27" s="269" t="s">
        <v>17</v>
      </c>
      <c r="M27" s="286" t="s">
        <v>17</v>
      </c>
      <c r="N27" s="268" t="s">
        <v>17</v>
      </c>
      <c r="O27" s="268" t="s">
        <v>516</v>
      </c>
      <c r="P27" s="287">
        <f>SUM((4/7*100)+(11/18*100))/2</f>
        <v>59.126984126984127</v>
      </c>
      <c r="Q27" s="439"/>
    </row>
    <row r="28" spans="2:102" ht="58.5" customHeight="1">
      <c r="B28" s="255">
        <v>3</v>
      </c>
      <c r="C28" s="256">
        <v>1</v>
      </c>
      <c r="D28" s="257" t="s">
        <v>45</v>
      </c>
      <c r="E28" s="257" t="s">
        <v>42</v>
      </c>
      <c r="F28" s="257" t="s">
        <v>39</v>
      </c>
      <c r="G28" s="270" t="s">
        <v>80</v>
      </c>
      <c r="H28" s="271" t="s">
        <v>413</v>
      </c>
      <c r="I28" s="268" t="s">
        <v>324</v>
      </c>
      <c r="J28" s="269" t="s">
        <v>458</v>
      </c>
      <c r="K28" s="269" t="s">
        <v>17</v>
      </c>
      <c r="L28" s="269" t="s">
        <v>17</v>
      </c>
      <c r="M28" s="286" t="s">
        <v>17</v>
      </c>
      <c r="N28" s="268" t="s">
        <v>17</v>
      </c>
      <c r="O28" s="268" t="s">
        <v>458</v>
      </c>
      <c r="P28" s="287">
        <f>SUM((9/33*100)+(78/222*100))/2</f>
        <v>31.203931203931205</v>
      </c>
      <c r="Q28" s="444"/>
      <c r="CX28" s="30">
        <f>5-3</f>
        <v>2</v>
      </c>
    </row>
    <row r="29" spans="2:102" ht="49.5" customHeight="1">
      <c r="B29" s="255">
        <v>3</v>
      </c>
      <c r="C29" s="256">
        <v>1</v>
      </c>
      <c r="D29" s="257" t="s">
        <v>45</v>
      </c>
      <c r="E29" s="257" t="s">
        <v>42</v>
      </c>
      <c r="F29" s="257" t="s">
        <v>85</v>
      </c>
      <c r="G29" s="270" t="s">
        <v>86</v>
      </c>
      <c r="H29" s="271" t="s">
        <v>414</v>
      </c>
      <c r="I29" s="268" t="s">
        <v>325</v>
      </c>
      <c r="J29" s="269" t="s">
        <v>517</v>
      </c>
      <c r="K29" s="269" t="s">
        <v>518</v>
      </c>
      <c r="L29" s="269" t="s">
        <v>518</v>
      </c>
      <c r="M29" s="262">
        <v>1</v>
      </c>
      <c r="N29" s="268" t="s">
        <v>519</v>
      </c>
      <c r="O29" s="268" t="s">
        <v>520</v>
      </c>
      <c r="P29" s="287">
        <f>SUM((81/87*100)+(367/667*100))/2</f>
        <v>74.062968515742128</v>
      </c>
      <c r="Q29" s="445"/>
    </row>
    <row r="30" spans="2:102" ht="40.5" customHeight="1">
      <c r="B30" s="255">
        <v>3</v>
      </c>
      <c r="C30" s="256">
        <v>1</v>
      </c>
      <c r="D30" s="257" t="s">
        <v>45</v>
      </c>
      <c r="E30" s="257" t="s">
        <v>42</v>
      </c>
      <c r="F30" s="274">
        <v>10</v>
      </c>
      <c r="G30" s="270" t="s">
        <v>91</v>
      </c>
      <c r="H30" s="271" t="s">
        <v>415</v>
      </c>
      <c r="I30" s="268" t="s">
        <v>326</v>
      </c>
      <c r="J30" s="269" t="s">
        <v>521</v>
      </c>
      <c r="K30" s="269" t="s">
        <v>522</v>
      </c>
      <c r="L30" s="269" t="s">
        <v>522</v>
      </c>
      <c r="M30" s="281">
        <v>1</v>
      </c>
      <c r="N30" s="268" t="s">
        <v>523</v>
      </c>
      <c r="O30" s="268" t="s">
        <v>524</v>
      </c>
      <c r="P30" s="288">
        <f>SUM((15/24*100)+(124/183*100))/2</f>
        <v>65.129781420765028</v>
      </c>
      <c r="Q30" s="441"/>
    </row>
    <row r="31" spans="2:102" ht="55.5" customHeight="1">
      <c r="B31" s="255">
        <v>3</v>
      </c>
      <c r="C31" s="256">
        <v>1</v>
      </c>
      <c r="D31" s="257" t="s">
        <v>45</v>
      </c>
      <c r="E31" s="257" t="s">
        <v>42</v>
      </c>
      <c r="F31" s="274">
        <v>11</v>
      </c>
      <c r="G31" s="270" t="s">
        <v>96</v>
      </c>
      <c r="H31" s="271" t="s">
        <v>416</v>
      </c>
      <c r="I31" s="268" t="s">
        <v>327</v>
      </c>
      <c r="J31" s="269" t="s">
        <v>98</v>
      </c>
      <c r="K31" s="269" t="s">
        <v>55</v>
      </c>
      <c r="L31" s="289" t="s">
        <v>55</v>
      </c>
      <c r="M31" s="265">
        <v>1</v>
      </c>
      <c r="N31" s="268" t="s">
        <v>18</v>
      </c>
      <c r="O31" s="268" t="s">
        <v>525</v>
      </c>
      <c r="P31" s="290">
        <f>SUM((7/10*100)+(2/3*100))/2</f>
        <v>68.333333333333329</v>
      </c>
      <c r="Q31" s="446"/>
    </row>
    <row r="32" spans="2:102" ht="48.75" customHeight="1">
      <c r="B32" s="255">
        <v>3</v>
      </c>
      <c r="C32" s="256">
        <v>1</v>
      </c>
      <c r="D32" s="257" t="s">
        <v>45</v>
      </c>
      <c r="E32" s="257" t="s">
        <v>42</v>
      </c>
      <c r="F32" s="274">
        <v>22</v>
      </c>
      <c r="G32" s="270" t="s">
        <v>100</v>
      </c>
      <c r="H32" s="271" t="s">
        <v>417</v>
      </c>
      <c r="I32" s="268" t="s">
        <v>328</v>
      </c>
      <c r="J32" s="269" t="s">
        <v>526</v>
      </c>
      <c r="K32" s="269" t="s">
        <v>102</v>
      </c>
      <c r="L32" s="269" t="s">
        <v>102</v>
      </c>
      <c r="M32" s="291">
        <v>1</v>
      </c>
      <c r="N32" s="268" t="s">
        <v>102</v>
      </c>
      <c r="O32" s="268" t="s">
        <v>527</v>
      </c>
      <c r="P32" s="292">
        <f>SUM(12/23*100)</f>
        <v>52.173913043478258</v>
      </c>
      <c r="Q32" s="447"/>
    </row>
    <row r="33" spans="2:32" ht="54.75" customHeight="1">
      <c r="B33" s="255">
        <v>3</v>
      </c>
      <c r="C33" s="256">
        <v>1</v>
      </c>
      <c r="D33" s="257" t="s">
        <v>45</v>
      </c>
      <c r="E33" s="257" t="s">
        <v>42</v>
      </c>
      <c r="F33" s="293">
        <v>24</v>
      </c>
      <c r="G33" s="270" t="s">
        <v>104</v>
      </c>
      <c r="H33" s="271" t="s">
        <v>418</v>
      </c>
      <c r="I33" s="268" t="s">
        <v>329</v>
      </c>
      <c r="J33" s="269" t="s">
        <v>528</v>
      </c>
      <c r="K33" s="269" t="s">
        <v>459</v>
      </c>
      <c r="L33" s="269" t="s">
        <v>459</v>
      </c>
      <c r="M33" s="286">
        <v>1</v>
      </c>
      <c r="N33" s="268" t="s">
        <v>507</v>
      </c>
      <c r="O33" s="268" t="s">
        <v>529</v>
      </c>
      <c r="P33" s="288">
        <f>SUM((66/91*100)+(136/188*100))/2</f>
        <v>72.433949029693707</v>
      </c>
      <c r="Q33" s="448"/>
    </row>
    <row r="34" spans="2:32" ht="46.5" customHeight="1">
      <c r="B34" s="255">
        <v>3</v>
      </c>
      <c r="C34" s="256">
        <v>1</v>
      </c>
      <c r="D34" s="257" t="s">
        <v>45</v>
      </c>
      <c r="E34" s="257" t="s">
        <v>42</v>
      </c>
      <c r="F34" s="257">
        <v>26</v>
      </c>
      <c r="G34" s="270" t="s">
        <v>108</v>
      </c>
      <c r="H34" s="271" t="s">
        <v>419</v>
      </c>
      <c r="I34" s="268" t="s">
        <v>331</v>
      </c>
      <c r="J34" s="269" t="s">
        <v>530</v>
      </c>
      <c r="K34" s="269" t="s">
        <v>94</v>
      </c>
      <c r="L34" s="269" t="s">
        <v>94</v>
      </c>
      <c r="M34" s="286">
        <v>1</v>
      </c>
      <c r="N34" s="268" t="s">
        <v>460</v>
      </c>
      <c r="O34" s="268" t="s">
        <v>531</v>
      </c>
      <c r="P34" s="288">
        <f>SUM(272/560*100)</f>
        <v>48.571428571428569</v>
      </c>
      <c r="Q34" s="448"/>
    </row>
    <row r="35" spans="2:32" s="49" customFormat="1" ht="44.25" customHeight="1">
      <c r="B35" s="255">
        <v>3</v>
      </c>
      <c r="C35" s="256">
        <v>1</v>
      </c>
      <c r="D35" s="257" t="s">
        <v>45</v>
      </c>
      <c r="E35" s="257" t="s">
        <v>42</v>
      </c>
      <c r="F35" s="294">
        <v>28</v>
      </c>
      <c r="G35" s="270" t="s">
        <v>110</v>
      </c>
      <c r="H35" s="271" t="s">
        <v>420</v>
      </c>
      <c r="I35" s="268" t="s">
        <v>332</v>
      </c>
      <c r="J35" s="269" t="s">
        <v>67</v>
      </c>
      <c r="K35" s="269" t="s">
        <v>532</v>
      </c>
      <c r="L35" s="269" t="s">
        <v>532</v>
      </c>
      <c r="M35" s="281">
        <v>1</v>
      </c>
      <c r="N35" s="268" t="s">
        <v>533</v>
      </c>
      <c r="O35" s="268" t="s">
        <v>534</v>
      </c>
      <c r="P35" s="295">
        <f>SUM(1/4*100)</f>
        <v>25</v>
      </c>
      <c r="Q35" s="449"/>
      <c r="R35" s="40"/>
      <c r="S35" s="41"/>
      <c r="T35" s="40"/>
      <c r="U35" s="41"/>
      <c r="V35" s="40"/>
      <c r="W35" s="42">
        <f t="shared" ref="W35:W37" si="0">+P35</f>
        <v>25</v>
      </c>
      <c r="X35" s="43"/>
      <c r="Y35" s="44" t="e">
        <f>#REF!+R35+T35+V35</f>
        <v>#REF!</v>
      </c>
      <c r="Z35" s="42" t="e">
        <f>+W35+#REF!</f>
        <v>#REF!</v>
      </c>
      <c r="AA35" s="41"/>
      <c r="AB35" s="40" t="e">
        <f>#REF!+Y35</f>
        <v>#REF!</v>
      </c>
      <c r="AC35" s="45">
        <f>45/200*100</f>
        <v>22.5</v>
      </c>
      <c r="AD35" s="46" t="e">
        <f>AB35/#REF!*100</f>
        <v>#REF!</v>
      </c>
      <c r="AE35" s="47"/>
      <c r="AF35" s="48"/>
    </row>
    <row r="36" spans="2:32" s="49" customFormat="1" ht="69" customHeight="1">
      <c r="B36" s="255">
        <v>3</v>
      </c>
      <c r="C36" s="256">
        <v>1</v>
      </c>
      <c r="D36" s="257" t="s">
        <v>45</v>
      </c>
      <c r="E36" s="257" t="s">
        <v>42</v>
      </c>
      <c r="F36" s="294">
        <v>42</v>
      </c>
      <c r="G36" s="270" t="s">
        <v>112</v>
      </c>
      <c r="H36" s="271" t="s">
        <v>421</v>
      </c>
      <c r="I36" s="268" t="s">
        <v>333</v>
      </c>
      <c r="J36" s="269" t="s">
        <v>535</v>
      </c>
      <c r="K36" s="269" t="s">
        <v>17</v>
      </c>
      <c r="L36" s="269" t="s">
        <v>17</v>
      </c>
      <c r="M36" s="281" t="s">
        <v>17</v>
      </c>
      <c r="N36" s="268" t="s">
        <v>17</v>
      </c>
      <c r="O36" s="268" t="s">
        <v>535</v>
      </c>
      <c r="P36" s="295">
        <f>SUM((2/2*100)+(2/4*100))/2</f>
        <v>75</v>
      </c>
      <c r="Q36" s="449"/>
      <c r="R36" s="40"/>
      <c r="S36" s="41"/>
      <c r="T36" s="40"/>
      <c r="U36" s="41"/>
      <c r="V36" s="40"/>
      <c r="W36" s="42">
        <f t="shared" si="0"/>
        <v>75</v>
      </c>
      <c r="X36" s="43"/>
      <c r="Y36" s="44" t="e">
        <f>#REF!+R36+T36+V36</f>
        <v>#REF!</v>
      </c>
      <c r="Z36" s="42" t="e">
        <f>+W36+#REF!</f>
        <v>#REF!</v>
      </c>
      <c r="AA36" s="41"/>
      <c r="AB36" s="40" t="e">
        <f>#REF!+Y36</f>
        <v>#REF!</v>
      </c>
      <c r="AC36" s="45">
        <f>45/200*100</f>
        <v>22.5</v>
      </c>
      <c r="AD36" s="46" t="e">
        <f>AB36/#REF!*100</f>
        <v>#REF!</v>
      </c>
      <c r="AE36" s="47"/>
      <c r="AF36" s="48"/>
    </row>
    <row r="37" spans="2:32" s="49" customFormat="1" ht="57" customHeight="1">
      <c r="B37" s="247">
        <v>3</v>
      </c>
      <c r="C37" s="248">
        <v>1</v>
      </c>
      <c r="D37" s="249" t="s">
        <v>45</v>
      </c>
      <c r="E37" s="249" t="s">
        <v>45</v>
      </c>
      <c r="F37" s="296"/>
      <c r="G37" s="297" t="s">
        <v>119</v>
      </c>
      <c r="H37" s="298" t="s">
        <v>422</v>
      </c>
      <c r="I37" s="299" t="s">
        <v>336</v>
      </c>
      <c r="J37" s="300" t="s">
        <v>543</v>
      </c>
      <c r="K37" s="300" t="s">
        <v>544</v>
      </c>
      <c r="L37" s="300" t="s">
        <v>544</v>
      </c>
      <c r="M37" s="253">
        <v>1</v>
      </c>
      <c r="N37" s="299" t="s">
        <v>545</v>
      </c>
      <c r="O37" s="299" t="s">
        <v>546</v>
      </c>
      <c r="P37" s="301">
        <f>SUM(688/1240*100)</f>
        <v>55.483870967741936</v>
      </c>
      <c r="Q37" s="449"/>
      <c r="R37" s="40"/>
      <c r="S37" s="41"/>
      <c r="T37" s="40"/>
      <c r="U37" s="41"/>
      <c r="V37" s="40"/>
      <c r="W37" s="42">
        <f t="shared" si="0"/>
        <v>55.483870967741936</v>
      </c>
      <c r="X37" s="43"/>
      <c r="Y37" s="44" t="e">
        <f>#REF!+R37+T37+V37</f>
        <v>#REF!</v>
      </c>
      <c r="Z37" s="42" t="e">
        <f>+W37+#REF!</f>
        <v>#REF!</v>
      </c>
      <c r="AA37" s="41"/>
      <c r="AB37" s="40" t="e">
        <f>#REF!+Y37</f>
        <v>#REF!</v>
      </c>
      <c r="AC37" s="45">
        <f>45/200*100</f>
        <v>22.5</v>
      </c>
      <c r="AD37" s="46" t="e">
        <f>AB37/#REF!*100</f>
        <v>#REF!</v>
      </c>
      <c r="AE37" s="47"/>
      <c r="AF37" s="48"/>
    </row>
    <row r="38" spans="2:32" ht="54" customHeight="1">
      <c r="B38" s="255">
        <v>3</v>
      </c>
      <c r="C38" s="256">
        <v>1</v>
      </c>
      <c r="D38" s="257" t="s">
        <v>45</v>
      </c>
      <c r="E38" s="257" t="s">
        <v>45</v>
      </c>
      <c r="F38" s="257" t="s">
        <v>132</v>
      </c>
      <c r="G38" s="302" t="s">
        <v>121</v>
      </c>
      <c r="H38" s="303" t="s">
        <v>423</v>
      </c>
      <c r="I38" s="268" t="s">
        <v>334</v>
      </c>
      <c r="J38" s="269" t="s">
        <v>536</v>
      </c>
      <c r="K38" s="269" t="s">
        <v>537</v>
      </c>
      <c r="L38" s="269" t="s">
        <v>537</v>
      </c>
      <c r="M38" s="278">
        <v>1</v>
      </c>
      <c r="N38" s="268" t="s">
        <v>538</v>
      </c>
      <c r="O38" s="268" t="s">
        <v>539</v>
      </c>
      <c r="P38" s="292">
        <f>SUM(451/850*100)</f>
        <v>53.058823529411768</v>
      </c>
      <c r="Q38" s="447"/>
    </row>
    <row r="39" spans="2:32" ht="54" customHeight="1">
      <c r="B39" s="255">
        <v>3</v>
      </c>
      <c r="C39" s="256">
        <v>1</v>
      </c>
      <c r="D39" s="257" t="s">
        <v>45</v>
      </c>
      <c r="E39" s="257" t="s">
        <v>45</v>
      </c>
      <c r="F39" s="257" t="s">
        <v>35</v>
      </c>
      <c r="G39" s="302" t="s">
        <v>335</v>
      </c>
      <c r="H39" s="303" t="s">
        <v>424</v>
      </c>
      <c r="I39" s="304" t="s">
        <v>337</v>
      </c>
      <c r="J39" s="305" t="s">
        <v>17</v>
      </c>
      <c r="K39" s="306" t="s">
        <v>540</v>
      </c>
      <c r="L39" s="306" t="s">
        <v>540</v>
      </c>
      <c r="M39" s="278">
        <v>1</v>
      </c>
      <c r="N39" s="304" t="s">
        <v>541</v>
      </c>
      <c r="O39" s="304" t="s">
        <v>542</v>
      </c>
      <c r="P39" s="292">
        <f>SUM(237/390*100)</f>
        <v>60.769230769230766</v>
      </c>
      <c r="Q39" s="447"/>
    </row>
    <row r="40" spans="2:32" s="176" customFormat="1" ht="112.5" customHeight="1">
      <c r="B40" s="247">
        <v>3</v>
      </c>
      <c r="C40" s="248">
        <v>1</v>
      </c>
      <c r="D40" s="249" t="s">
        <v>45</v>
      </c>
      <c r="E40" s="249" t="s">
        <v>35</v>
      </c>
      <c r="F40" s="307"/>
      <c r="G40" s="308" t="s">
        <v>125</v>
      </c>
      <c r="H40" s="298" t="s">
        <v>425</v>
      </c>
      <c r="I40" s="309" t="s">
        <v>442</v>
      </c>
      <c r="J40" s="310" t="s">
        <v>554</v>
      </c>
      <c r="K40" s="310" t="s">
        <v>555</v>
      </c>
      <c r="L40" s="310" t="s">
        <v>555</v>
      </c>
      <c r="M40" s="253">
        <v>1</v>
      </c>
      <c r="N40" s="310" t="s">
        <v>556</v>
      </c>
      <c r="O40" s="310" t="s">
        <v>557</v>
      </c>
      <c r="P40" s="301">
        <f>SUM((52/40*100)+(9/48*100)+(9/15*100))/3</f>
        <v>69.583333333333329</v>
      </c>
      <c r="Q40" s="450"/>
    </row>
    <row r="41" spans="2:32" ht="72.75" customHeight="1">
      <c r="B41" s="255">
        <v>3</v>
      </c>
      <c r="C41" s="256">
        <v>1</v>
      </c>
      <c r="D41" s="257" t="s">
        <v>45</v>
      </c>
      <c r="E41" s="257" t="s">
        <v>35</v>
      </c>
      <c r="F41" s="311" t="s">
        <v>45</v>
      </c>
      <c r="G41" s="302" t="s">
        <v>128</v>
      </c>
      <c r="H41" s="303" t="s">
        <v>426</v>
      </c>
      <c r="I41" s="268" t="s">
        <v>338</v>
      </c>
      <c r="J41" s="269" t="s">
        <v>547</v>
      </c>
      <c r="K41" s="269" t="s">
        <v>548</v>
      </c>
      <c r="L41" s="269" t="s">
        <v>548</v>
      </c>
      <c r="M41" s="312">
        <v>1</v>
      </c>
      <c r="N41" s="268" t="s">
        <v>549</v>
      </c>
      <c r="O41" s="268" t="s">
        <v>550</v>
      </c>
      <c r="P41" s="313">
        <f>SUM((52/40*100)+(9/48*100))/2</f>
        <v>74.375</v>
      </c>
      <c r="Q41" s="451"/>
    </row>
    <row r="42" spans="2:32" ht="60" customHeight="1">
      <c r="B42" s="255">
        <v>3</v>
      </c>
      <c r="C42" s="256">
        <v>1</v>
      </c>
      <c r="D42" s="257" t="s">
        <v>45</v>
      </c>
      <c r="E42" s="257" t="s">
        <v>35</v>
      </c>
      <c r="F42" s="311" t="s">
        <v>132</v>
      </c>
      <c r="G42" s="302" t="s">
        <v>130</v>
      </c>
      <c r="H42" s="303" t="s">
        <v>427</v>
      </c>
      <c r="I42" s="268" t="s">
        <v>339</v>
      </c>
      <c r="J42" s="269" t="s">
        <v>551</v>
      </c>
      <c r="K42" s="269" t="s">
        <v>461</v>
      </c>
      <c r="L42" s="269" t="s">
        <v>461</v>
      </c>
      <c r="M42" s="278">
        <v>1</v>
      </c>
      <c r="N42" s="268" t="s">
        <v>552</v>
      </c>
      <c r="O42" s="268" t="s">
        <v>553</v>
      </c>
      <c r="P42" s="314">
        <f>SUM(9/15*100)</f>
        <v>60</v>
      </c>
      <c r="Q42" s="441"/>
    </row>
    <row r="43" spans="2:32" ht="121.5" customHeight="1">
      <c r="B43" s="247">
        <v>3</v>
      </c>
      <c r="C43" s="248">
        <v>1</v>
      </c>
      <c r="D43" s="249" t="s">
        <v>45</v>
      </c>
      <c r="E43" s="249" t="s">
        <v>38</v>
      </c>
      <c r="F43" s="315"/>
      <c r="G43" s="316" t="s">
        <v>138</v>
      </c>
      <c r="H43" s="250" t="s">
        <v>428</v>
      </c>
      <c r="I43" s="317" t="s">
        <v>443</v>
      </c>
      <c r="J43" s="318" t="s">
        <v>572</v>
      </c>
      <c r="K43" s="318" t="s">
        <v>573</v>
      </c>
      <c r="L43" s="318" t="s">
        <v>573</v>
      </c>
      <c r="M43" s="319">
        <f>((20/96*100)+(120/120*100)+(2/10*100)+(1/4*100))/4</f>
        <v>41.458333333333336</v>
      </c>
      <c r="N43" s="320" t="s">
        <v>574</v>
      </c>
      <c r="O43" s="320" t="s">
        <v>575</v>
      </c>
      <c r="P43" s="319">
        <f>SUM((80/96*100)+(120/120*100)+(6/10*100)+(0/60*100)+(3/4*100))/5</f>
        <v>63.666666666666671</v>
      </c>
      <c r="Q43" s="452"/>
    </row>
    <row r="44" spans="2:32" ht="210.75" customHeight="1">
      <c r="B44" s="255">
        <v>3</v>
      </c>
      <c r="C44" s="256">
        <v>1</v>
      </c>
      <c r="D44" s="257" t="s">
        <v>45</v>
      </c>
      <c r="E44" s="257" t="s">
        <v>38</v>
      </c>
      <c r="F44" s="258" t="s">
        <v>36</v>
      </c>
      <c r="G44" s="302" t="s">
        <v>140</v>
      </c>
      <c r="H44" s="280" t="s">
        <v>429</v>
      </c>
      <c r="I44" s="268" t="s">
        <v>340</v>
      </c>
      <c r="J44" s="269" t="s">
        <v>558</v>
      </c>
      <c r="K44" s="269" t="s">
        <v>559</v>
      </c>
      <c r="L44" s="269" t="s">
        <v>559</v>
      </c>
      <c r="M44" s="321">
        <v>1</v>
      </c>
      <c r="N44" s="268" t="s">
        <v>352</v>
      </c>
      <c r="O44" s="268" t="s">
        <v>560</v>
      </c>
      <c r="P44" s="322">
        <f>SUM((35/49*100)+(2/5*100))/2</f>
        <v>55.714285714285715</v>
      </c>
      <c r="Q44" s="452"/>
    </row>
    <row r="45" spans="2:32" ht="65.25" customHeight="1">
      <c r="B45" s="255">
        <v>3</v>
      </c>
      <c r="C45" s="256">
        <v>1</v>
      </c>
      <c r="D45" s="257" t="s">
        <v>45</v>
      </c>
      <c r="E45" s="257" t="s">
        <v>38</v>
      </c>
      <c r="F45" s="258" t="s">
        <v>45</v>
      </c>
      <c r="G45" s="302" t="s">
        <v>145</v>
      </c>
      <c r="H45" s="271" t="s">
        <v>434</v>
      </c>
      <c r="I45" s="268" t="s">
        <v>341</v>
      </c>
      <c r="J45" s="269" t="s">
        <v>561</v>
      </c>
      <c r="K45" s="269" t="s">
        <v>15</v>
      </c>
      <c r="L45" s="269" t="s">
        <v>15</v>
      </c>
      <c r="M45" s="321">
        <v>1</v>
      </c>
      <c r="N45" s="268" t="s">
        <v>247</v>
      </c>
      <c r="O45" s="268" t="s">
        <v>562</v>
      </c>
      <c r="P45" s="323">
        <f>SUM((120/120*100)+(2/3*100))/2</f>
        <v>83.333333333333329</v>
      </c>
      <c r="Q45" s="453"/>
    </row>
    <row r="46" spans="2:32" ht="114.75" customHeight="1">
      <c r="B46" s="255">
        <v>3</v>
      </c>
      <c r="C46" s="256">
        <v>1</v>
      </c>
      <c r="D46" s="257" t="s">
        <v>45</v>
      </c>
      <c r="E46" s="257" t="s">
        <v>38</v>
      </c>
      <c r="F46" s="258" t="s">
        <v>132</v>
      </c>
      <c r="G46" s="246" t="s">
        <v>563</v>
      </c>
      <c r="H46" s="324" t="s">
        <v>564</v>
      </c>
      <c r="I46" s="325" t="s">
        <v>565</v>
      </c>
      <c r="J46" s="269" t="s">
        <v>17</v>
      </c>
      <c r="K46" s="269" t="s">
        <v>17</v>
      </c>
      <c r="L46" s="269" t="s">
        <v>17</v>
      </c>
      <c r="M46" s="321" t="s">
        <v>17</v>
      </c>
      <c r="N46" s="268" t="s">
        <v>248</v>
      </c>
      <c r="O46" s="268" t="s">
        <v>248</v>
      </c>
      <c r="P46" s="323">
        <f>10/20*100</f>
        <v>50</v>
      </c>
      <c r="Q46" s="452"/>
    </row>
    <row r="47" spans="2:32" ht="112.5" customHeight="1">
      <c r="B47" s="255">
        <v>3</v>
      </c>
      <c r="C47" s="256">
        <v>1</v>
      </c>
      <c r="D47" s="257" t="s">
        <v>45</v>
      </c>
      <c r="E47" s="257" t="s">
        <v>38</v>
      </c>
      <c r="F47" s="258" t="s">
        <v>39</v>
      </c>
      <c r="G47" s="302" t="s">
        <v>150</v>
      </c>
      <c r="H47" s="280" t="s">
        <v>430</v>
      </c>
      <c r="I47" s="268" t="s">
        <v>342</v>
      </c>
      <c r="J47" s="269" t="s">
        <v>345</v>
      </c>
      <c r="K47" s="269" t="s">
        <v>345</v>
      </c>
      <c r="L47" s="269" t="s">
        <v>345</v>
      </c>
      <c r="M47" s="321">
        <v>1</v>
      </c>
      <c r="N47" s="268" t="s">
        <v>345</v>
      </c>
      <c r="O47" s="268" t="s">
        <v>566</v>
      </c>
      <c r="P47" s="322">
        <f>SUM(24/32*100)</f>
        <v>75</v>
      </c>
      <c r="Q47" s="453"/>
    </row>
    <row r="48" spans="2:32" ht="100.5" customHeight="1">
      <c r="B48" s="255">
        <v>3</v>
      </c>
      <c r="C48" s="256">
        <v>1</v>
      </c>
      <c r="D48" s="257" t="s">
        <v>45</v>
      </c>
      <c r="E48" s="257" t="s">
        <v>38</v>
      </c>
      <c r="F48" s="257" t="s">
        <v>53</v>
      </c>
      <c r="G48" s="272" t="s">
        <v>152</v>
      </c>
      <c r="H48" s="280" t="s">
        <v>431</v>
      </c>
      <c r="I48" s="268" t="s">
        <v>343</v>
      </c>
      <c r="J48" s="269" t="s">
        <v>567</v>
      </c>
      <c r="K48" s="269" t="s">
        <v>568</v>
      </c>
      <c r="L48" s="269" t="s">
        <v>568</v>
      </c>
      <c r="M48" s="286">
        <v>1</v>
      </c>
      <c r="N48" s="268" t="s">
        <v>569</v>
      </c>
      <c r="O48" s="268" t="s">
        <v>570</v>
      </c>
      <c r="P48" s="326">
        <f>SUM((0/60*100)+(1/1*100)+(3/4*100)+(3/4*100))/4</f>
        <v>62.5</v>
      </c>
      <c r="Q48" s="443"/>
    </row>
    <row r="49" spans="2:17" ht="49.5" customHeight="1">
      <c r="B49" s="255">
        <v>3</v>
      </c>
      <c r="C49" s="256">
        <v>1</v>
      </c>
      <c r="D49" s="257" t="s">
        <v>45</v>
      </c>
      <c r="E49" s="257" t="s">
        <v>38</v>
      </c>
      <c r="F49" s="258" t="s">
        <v>85</v>
      </c>
      <c r="G49" s="272" t="s">
        <v>154</v>
      </c>
      <c r="H49" s="280" t="s">
        <v>432</v>
      </c>
      <c r="I49" s="327" t="s">
        <v>344</v>
      </c>
      <c r="J49" s="269" t="s">
        <v>219</v>
      </c>
      <c r="K49" s="269" t="s">
        <v>17</v>
      </c>
      <c r="L49" s="269" t="s">
        <v>17</v>
      </c>
      <c r="M49" s="286" t="s">
        <v>17</v>
      </c>
      <c r="N49" s="268" t="s">
        <v>247</v>
      </c>
      <c r="O49" s="327" t="s">
        <v>218</v>
      </c>
      <c r="P49" s="326">
        <f>SUM(3/4*100)</f>
        <v>75</v>
      </c>
      <c r="Q49" s="454"/>
    </row>
    <row r="50" spans="2:17" ht="59.25" customHeight="1">
      <c r="B50" s="255">
        <v>3</v>
      </c>
      <c r="C50" s="256">
        <v>1</v>
      </c>
      <c r="D50" s="257" t="s">
        <v>45</v>
      </c>
      <c r="E50" s="257" t="s">
        <v>38</v>
      </c>
      <c r="F50" s="258">
        <v>10</v>
      </c>
      <c r="G50" s="270" t="s">
        <v>156</v>
      </c>
      <c r="H50" s="271" t="s">
        <v>433</v>
      </c>
      <c r="I50" s="268" t="s">
        <v>345</v>
      </c>
      <c r="J50" s="269" t="s">
        <v>219</v>
      </c>
      <c r="K50" s="269" t="s">
        <v>219</v>
      </c>
      <c r="L50" s="269" t="s">
        <v>219</v>
      </c>
      <c r="M50" s="286">
        <v>1</v>
      </c>
      <c r="N50" s="268" t="s">
        <v>219</v>
      </c>
      <c r="O50" s="268" t="s">
        <v>571</v>
      </c>
      <c r="P50" s="326">
        <f>SUM(6/8*100)</f>
        <v>75</v>
      </c>
      <c r="Q50" s="455"/>
    </row>
    <row r="51" spans="2:17" s="176" customFormat="1" ht="63" customHeight="1">
      <c r="B51" s="247">
        <v>3</v>
      </c>
      <c r="C51" s="248">
        <v>1</v>
      </c>
      <c r="D51" s="249" t="s">
        <v>45</v>
      </c>
      <c r="E51" s="249" t="s">
        <v>690</v>
      </c>
      <c r="F51" s="328"/>
      <c r="G51" s="316" t="s">
        <v>158</v>
      </c>
      <c r="H51" s="329" t="s">
        <v>435</v>
      </c>
      <c r="I51" s="286" t="s">
        <v>444</v>
      </c>
      <c r="J51" s="330" t="s">
        <v>17</v>
      </c>
      <c r="K51" s="331" t="s">
        <v>17</v>
      </c>
      <c r="L51" s="330" t="s">
        <v>17</v>
      </c>
      <c r="M51" s="332" t="s">
        <v>17</v>
      </c>
      <c r="N51" s="333"/>
      <c r="O51" s="334" t="s">
        <v>17</v>
      </c>
      <c r="P51" s="335">
        <v>1</v>
      </c>
      <c r="Q51" s="456"/>
    </row>
    <row r="52" spans="2:17" s="176" customFormat="1" ht="63" customHeight="1">
      <c r="B52" s="247"/>
      <c r="C52" s="249"/>
      <c r="D52" s="336"/>
      <c r="E52" s="336"/>
      <c r="F52" s="249"/>
      <c r="G52" s="316"/>
      <c r="H52" s="337" t="s">
        <v>436</v>
      </c>
      <c r="I52" s="338" t="s">
        <v>445</v>
      </c>
      <c r="J52" s="339" t="s">
        <v>450</v>
      </c>
      <c r="K52" s="339" t="s">
        <v>450</v>
      </c>
      <c r="L52" s="339" t="s">
        <v>450</v>
      </c>
      <c r="M52" s="335">
        <v>1</v>
      </c>
      <c r="N52" s="338" t="s">
        <v>445</v>
      </c>
      <c r="O52" s="253" t="s">
        <v>363</v>
      </c>
      <c r="P52" s="340">
        <f>SUM(3/4*100)</f>
        <v>75</v>
      </c>
      <c r="Q52" s="456"/>
    </row>
    <row r="53" spans="2:17" s="176" customFormat="1" ht="63" customHeight="1">
      <c r="B53" s="247"/>
      <c r="C53" s="249"/>
      <c r="D53" s="336"/>
      <c r="E53" s="336"/>
      <c r="F53" s="249"/>
      <c r="G53" s="316"/>
      <c r="H53" s="341" t="s">
        <v>437</v>
      </c>
      <c r="I53" s="342" t="s">
        <v>446</v>
      </c>
      <c r="J53" s="338" t="s">
        <v>451</v>
      </c>
      <c r="K53" s="338" t="s">
        <v>451</v>
      </c>
      <c r="L53" s="338" t="s">
        <v>451</v>
      </c>
      <c r="M53" s="335">
        <v>1</v>
      </c>
      <c r="N53" s="338" t="s">
        <v>451</v>
      </c>
      <c r="O53" s="253" t="s">
        <v>451</v>
      </c>
      <c r="P53" s="340">
        <f>SUM(8/23*100)</f>
        <v>34.782608695652172</v>
      </c>
      <c r="Q53" s="456"/>
    </row>
    <row r="54" spans="2:17" s="176" customFormat="1" ht="63" customHeight="1">
      <c r="B54" s="247"/>
      <c r="C54" s="249"/>
      <c r="D54" s="336"/>
      <c r="E54" s="336"/>
      <c r="F54" s="249"/>
      <c r="G54" s="316"/>
      <c r="H54" s="341" t="s">
        <v>438</v>
      </c>
      <c r="I54" s="342" t="s">
        <v>447</v>
      </c>
      <c r="J54" s="339" t="s">
        <v>17</v>
      </c>
      <c r="K54" s="339" t="s">
        <v>17</v>
      </c>
      <c r="L54" s="339" t="s">
        <v>17</v>
      </c>
      <c r="M54" s="332" t="s">
        <v>17</v>
      </c>
      <c r="N54" s="338" t="s">
        <v>454</v>
      </c>
      <c r="O54" s="253" t="s">
        <v>454</v>
      </c>
      <c r="P54" s="340">
        <f>SUM(69271/277084*100)</f>
        <v>25</v>
      </c>
      <c r="Q54" s="456"/>
    </row>
    <row r="55" spans="2:17" s="176" customFormat="1" ht="63" customHeight="1">
      <c r="B55" s="247"/>
      <c r="C55" s="249"/>
      <c r="D55" s="336"/>
      <c r="E55" s="336"/>
      <c r="F55" s="249"/>
      <c r="G55" s="316"/>
      <c r="H55" s="343" t="s">
        <v>439</v>
      </c>
      <c r="I55" s="344" t="s">
        <v>448</v>
      </c>
      <c r="J55" s="338" t="s">
        <v>452</v>
      </c>
      <c r="K55" s="338" t="s">
        <v>452</v>
      </c>
      <c r="L55" s="338" t="s">
        <v>452</v>
      </c>
      <c r="M55" s="335">
        <v>1</v>
      </c>
      <c r="N55" s="338" t="s">
        <v>452</v>
      </c>
      <c r="O55" s="253" t="s">
        <v>456</v>
      </c>
      <c r="P55" s="340">
        <f>SUM(28/103*100)</f>
        <v>27.184466019417474</v>
      </c>
      <c r="Q55" s="456"/>
    </row>
    <row r="56" spans="2:17" s="176" customFormat="1" ht="63" customHeight="1">
      <c r="B56" s="247"/>
      <c r="C56" s="249"/>
      <c r="D56" s="336"/>
      <c r="E56" s="336"/>
      <c r="F56" s="249"/>
      <c r="G56" s="316"/>
      <c r="H56" s="343" t="s">
        <v>440</v>
      </c>
      <c r="I56" s="345" t="s">
        <v>449</v>
      </c>
      <c r="J56" s="338" t="s">
        <v>453</v>
      </c>
      <c r="K56" s="338" t="s">
        <v>453</v>
      </c>
      <c r="L56" s="338" t="s">
        <v>453</v>
      </c>
      <c r="M56" s="335">
        <v>1</v>
      </c>
      <c r="N56" s="338" t="s">
        <v>455</v>
      </c>
      <c r="O56" s="338" t="s">
        <v>453</v>
      </c>
      <c r="P56" s="340">
        <f>SUM(67029484443/92141907400*100)</f>
        <v>72.745926728015618</v>
      </c>
      <c r="Q56" s="456"/>
    </row>
    <row r="57" spans="2:17" ht="67.5" customHeight="1">
      <c r="B57" s="255">
        <v>3</v>
      </c>
      <c r="C57" s="256">
        <v>1</v>
      </c>
      <c r="D57" s="257" t="s">
        <v>45</v>
      </c>
      <c r="E57" s="257" t="s">
        <v>690</v>
      </c>
      <c r="F57" s="257" t="s">
        <v>42</v>
      </c>
      <c r="G57" s="346" t="s">
        <v>160</v>
      </c>
      <c r="H57" s="347" t="s">
        <v>579</v>
      </c>
      <c r="I57" s="268" t="s">
        <v>346</v>
      </c>
      <c r="J57" s="269" t="s">
        <v>576</v>
      </c>
      <c r="K57" s="269" t="s">
        <v>577</v>
      </c>
      <c r="L57" s="269" t="s">
        <v>577</v>
      </c>
      <c r="M57" s="281">
        <v>1</v>
      </c>
      <c r="N57" s="268" t="s">
        <v>462</v>
      </c>
      <c r="O57" s="268" t="s">
        <v>578</v>
      </c>
      <c r="P57" s="288">
        <f>SUM((60/60*100)+(6/8*100)+(31/31*100))/3</f>
        <v>91.666666666666671</v>
      </c>
      <c r="Q57" s="441"/>
    </row>
    <row r="58" spans="2:17" ht="55.5" customHeight="1">
      <c r="B58" s="255">
        <v>3</v>
      </c>
      <c r="C58" s="256">
        <v>1</v>
      </c>
      <c r="D58" s="257" t="s">
        <v>45</v>
      </c>
      <c r="E58" s="257" t="s">
        <v>690</v>
      </c>
      <c r="F58" s="257" t="s">
        <v>45</v>
      </c>
      <c r="G58" s="346" t="s">
        <v>162</v>
      </c>
      <c r="H58" s="348" t="s">
        <v>580</v>
      </c>
      <c r="I58" s="327" t="s">
        <v>463</v>
      </c>
      <c r="J58" s="269" t="s">
        <v>581</v>
      </c>
      <c r="K58" s="269" t="s">
        <v>247</v>
      </c>
      <c r="L58" s="269" t="s">
        <v>582</v>
      </c>
      <c r="M58" s="265">
        <v>1</v>
      </c>
      <c r="N58" s="268" t="s">
        <v>466</v>
      </c>
      <c r="O58" s="327" t="s">
        <v>583</v>
      </c>
      <c r="P58" s="290">
        <f>SUM((2/3*100)+(100/100*100))/2</f>
        <v>83.333333333333329</v>
      </c>
      <c r="Q58" s="442"/>
    </row>
    <row r="59" spans="2:17" ht="74.25" customHeight="1">
      <c r="B59" s="255">
        <v>3</v>
      </c>
      <c r="C59" s="256">
        <v>1</v>
      </c>
      <c r="D59" s="257" t="s">
        <v>45</v>
      </c>
      <c r="E59" s="257" t="s">
        <v>690</v>
      </c>
      <c r="F59" s="258" t="s">
        <v>132</v>
      </c>
      <c r="G59" s="346" t="s">
        <v>164</v>
      </c>
      <c r="H59" s="348" t="s">
        <v>165</v>
      </c>
      <c r="I59" s="268" t="s">
        <v>586</v>
      </c>
      <c r="J59" s="269" t="s">
        <v>584</v>
      </c>
      <c r="K59" s="269" t="s">
        <v>464</v>
      </c>
      <c r="L59" s="269" t="s">
        <v>464</v>
      </c>
      <c r="M59" s="281">
        <v>1</v>
      </c>
      <c r="N59" s="268" t="s">
        <v>465</v>
      </c>
      <c r="O59" s="268" t="s">
        <v>585</v>
      </c>
      <c r="P59" s="288">
        <f>SUM((4/5*100)+(1/1*100))/2</f>
        <v>90</v>
      </c>
      <c r="Q59" s="443"/>
    </row>
    <row r="60" spans="2:17" ht="70.5" customHeight="1">
      <c r="B60" s="255">
        <v>3</v>
      </c>
      <c r="C60" s="256">
        <v>1</v>
      </c>
      <c r="D60" s="257" t="s">
        <v>45</v>
      </c>
      <c r="E60" s="257" t="s">
        <v>690</v>
      </c>
      <c r="F60" s="349" t="s">
        <v>38</v>
      </c>
      <c r="G60" s="350" t="s">
        <v>166</v>
      </c>
      <c r="H60" s="348" t="s">
        <v>167</v>
      </c>
      <c r="I60" s="268" t="s">
        <v>347</v>
      </c>
      <c r="J60" s="269" t="s">
        <v>587</v>
      </c>
      <c r="K60" s="269" t="s">
        <v>247</v>
      </c>
      <c r="L60" s="269" t="s">
        <v>15</v>
      </c>
      <c r="M60" s="265">
        <v>1</v>
      </c>
      <c r="N60" s="268" t="s">
        <v>247</v>
      </c>
      <c r="O60" s="268" t="s">
        <v>588</v>
      </c>
      <c r="P60" s="290">
        <f>SUM((70/70*100)+(7/7*100)+(3/4*100))/3</f>
        <v>91.666666666666671</v>
      </c>
      <c r="Q60" s="457"/>
    </row>
    <row r="61" spans="2:17" ht="90" customHeight="1">
      <c r="B61" s="255">
        <v>3</v>
      </c>
      <c r="C61" s="256">
        <v>1</v>
      </c>
      <c r="D61" s="257" t="s">
        <v>45</v>
      </c>
      <c r="E61" s="257" t="s">
        <v>690</v>
      </c>
      <c r="F61" s="349" t="s">
        <v>39</v>
      </c>
      <c r="G61" s="302" t="s">
        <v>172</v>
      </c>
      <c r="H61" s="280" t="s">
        <v>173</v>
      </c>
      <c r="I61" s="268" t="s">
        <v>348</v>
      </c>
      <c r="J61" s="269" t="s">
        <v>589</v>
      </c>
      <c r="K61" s="269" t="s">
        <v>590</v>
      </c>
      <c r="L61" s="269" t="s">
        <v>590</v>
      </c>
      <c r="M61" s="281">
        <v>1</v>
      </c>
      <c r="N61" s="268" t="s">
        <v>590</v>
      </c>
      <c r="O61" s="268" t="s">
        <v>591</v>
      </c>
      <c r="P61" s="290">
        <f>SUM((70/70*100)+(4/4*100)+(3/4*100))/3</f>
        <v>91.666666666666671</v>
      </c>
      <c r="Q61" s="457"/>
    </row>
    <row r="62" spans="2:17" ht="87" customHeight="1">
      <c r="B62" s="255">
        <v>3</v>
      </c>
      <c r="C62" s="256">
        <v>1</v>
      </c>
      <c r="D62" s="257" t="s">
        <v>45</v>
      </c>
      <c r="E62" s="257" t="s">
        <v>690</v>
      </c>
      <c r="F62" s="351" t="s">
        <v>53</v>
      </c>
      <c r="G62" s="302" t="s">
        <v>174</v>
      </c>
      <c r="H62" s="280" t="s">
        <v>175</v>
      </c>
      <c r="I62" s="268" t="s">
        <v>349</v>
      </c>
      <c r="J62" s="269" t="s">
        <v>593</v>
      </c>
      <c r="K62" s="269" t="s">
        <v>592</v>
      </c>
      <c r="L62" s="269" t="s">
        <v>592</v>
      </c>
      <c r="M62" s="265">
        <v>1</v>
      </c>
      <c r="N62" s="268" t="s">
        <v>592</v>
      </c>
      <c r="O62" s="268" t="s">
        <v>594</v>
      </c>
      <c r="P62" s="290">
        <f>SUM((70/70*100)+(7/7*100)+(3/4*100))/3</f>
        <v>91.666666666666671</v>
      </c>
      <c r="Q62" s="457"/>
    </row>
    <row r="63" spans="2:17" ht="84" customHeight="1">
      <c r="B63" s="255">
        <v>3</v>
      </c>
      <c r="C63" s="256">
        <v>1</v>
      </c>
      <c r="D63" s="257" t="s">
        <v>45</v>
      </c>
      <c r="E63" s="257" t="s">
        <v>690</v>
      </c>
      <c r="F63" s="258" t="s">
        <v>85</v>
      </c>
      <c r="G63" s="302" t="s">
        <v>176</v>
      </c>
      <c r="H63" s="280" t="s">
        <v>175</v>
      </c>
      <c r="I63" s="268" t="s">
        <v>350</v>
      </c>
      <c r="J63" s="269" t="s">
        <v>589</v>
      </c>
      <c r="K63" s="269" t="s">
        <v>590</v>
      </c>
      <c r="L63" s="269" t="s">
        <v>590</v>
      </c>
      <c r="M63" s="265">
        <v>1</v>
      </c>
      <c r="N63" s="268" t="s">
        <v>590</v>
      </c>
      <c r="O63" s="268" t="s">
        <v>596</v>
      </c>
      <c r="P63" s="290">
        <f>SUM((70/70*100)+(4/4*100)+(3/4*100))/3</f>
        <v>91.666666666666671</v>
      </c>
      <c r="Q63" s="457" t="s">
        <v>595</v>
      </c>
    </row>
    <row r="64" spans="2:17" ht="73.5" customHeight="1">
      <c r="B64" s="255">
        <v>3</v>
      </c>
      <c r="C64" s="256">
        <v>1</v>
      </c>
      <c r="D64" s="257" t="s">
        <v>45</v>
      </c>
      <c r="E64" s="257" t="s">
        <v>690</v>
      </c>
      <c r="F64" s="258">
        <v>10</v>
      </c>
      <c r="G64" s="302" t="s">
        <v>177</v>
      </c>
      <c r="H64" s="280" t="s">
        <v>178</v>
      </c>
      <c r="I64" s="268" t="s">
        <v>351</v>
      </c>
      <c r="J64" s="269" t="s">
        <v>571</v>
      </c>
      <c r="K64" s="269" t="s">
        <v>247</v>
      </c>
      <c r="L64" s="269" t="s">
        <v>247</v>
      </c>
      <c r="M64" s="265">
        <v>1</v>
      </c>
      <c r="N64" s="268" t="s">
        <v>15</v>
      </c>
      <c r="O64" s="268" t="s">
        <v>345</v>
      </c>
      <c r="P64" s="290">
        <f>SUM(8/9*100)</f>
        <v>88.888888888888886</v>
      </c>
      <c r="Q64" s="458"/>
    </row>
    <row r="65" spans="2:17" ht="80.25" customHeight="1">
      <c r="B65" s="255">
        <v>3</v>
      </c>
      <c r="C65" s="256">
        <v>1</v>
      </c>
      <c r="D65" s="257" t="s">
        <v>45</v>
      </c>
      <c r="E65" s="257" t="s">
        <v>690</v>
      </c>
      <c r="F65" s="258">
        <v>11</v>
      </c>
      <c r="G65" s="270" t="s">
        <v>179</v>
      </c>
      <c r="H65" s="280" t="s">
        <v>180</v>
      </c>
      <c r="I65" s="268" t="s">
        <v>148</v>
      </c>
      <c r="J65" s="269" t="s">
        <v>219</v>
      </c>
      <c r="K65" s="269" t="s">
        <v>247</v>
      </c>
      <c r="L65" s="269" t="s">
        <v>247</v>
      </c>
      <c r="M65" s="265">
        <v>1</v>
      </c>
      <c r="N65" s="268" t="s">
        <v>15</v>
      </c>
      <c r="O65" s="268" t="s">
        <v>19</v>
      </c>
      <c r="P65" s="290">
        <f>SUM(4/5*100)</f>
        <v>80</v>
      </c>
      <c r="Q65" s="458"/>
    </row>
    <row r="66" spans="2:17" ht="118.5" customHeight="1">
      <c r="B66" s="255">
        <v>3</v>
      </c>
      <c r="C66" s="256">
        <v>1</v>
      </c>
      <c r="D66" s="257" t="s">
        <v>45</v>
      </c>
      <c r="E66" s="257" t="s">
        <v>690</v>
      </c>
      <c r="F66" s="352">
        <v>13</v>
      </c>
      <c r="G66" s="270" t="s">
        <v>183</v>
      </c>
      <c r="H66" s="280" t="s">
        <v>184</v>
      </c>
      <c r="I66" s="268" t="s">
        <v>353</v>
      </c>
      <c r="J66" s="268" t="s">
        <v>354</v>
      </c>
      <c r="K66" s="268" t="s">
        <v>597</v>
      </c>
      <c r="L66" s="268" t="s">
        <v>597</v>
      </c>
      <c r="M66" s="265">
        <v>1</v>
      </c>
      <c r="N66" s="268" t="s">
        <v>598</v>
      </c>
      <c r="O66" s="268" t="s">
        <v>599</v>
      </c>
      <c r="P66" s="290">
        <f>SUM((3/3*100)+(4/4*100)+(0/31*100))/3</f>
        <v>66.666666666666671</v>
      </c>
      <c r="Q66" s="459"/>
    </row>
    <row r="67" spans="2:17" ht="75" customHeight="1">
      <c r="B67" s="255">
        <v>3</v>
      </c>
      <c r="C67" s="256">
        <v>1</v>
      </c>
      <c r="D67" s="257" t="s">
        <v>45</v>
      </c>
      <c r="E67" s="257" t="s">
        <v>690</v>
      </c>
      <c r="F67" s="353">
        <v>14</v>
      </c>
      <c r="G67" s="270" t="s">
        <v>185</v>
      </c>
      <c r="H67" s="280" t="s">
        <v>186</v>
      </c>
      <c r="I67" s="268" t="s">
        <v>355</v>
      </c>
      <c r="J67" s="269" t="s">
        <v>600</v>
      </c>
      <c r="K67" s="269" t="s">
        <v>389</v>
      </c>
      <c r="L67" s="269" t="s">
        <v>389</v>
      </c>
      <c r="M67" s="265">
        <v>1</v>
      </c>
      <c r="N67" s="268" t="s">
        <v>601</v>
      </c>
      <c r="O67" s="268" t="s">
        <v>602</v>
      </c>
      <c r="P67" s="290">
        <f>SUM((11/17*100)+(1/1*100))/2</f>
        <v>82.35294117647058</v>
      </c>
      <c r="Q67" s="459"/>
    </row>
    <row r="68" spans="2:17" ht="69.75" customHeight="1">
      <c r="B68" s="255">
        <v>3</v>
      </c>
      <c r="C68" s="256">
        <v>1</v>
      </c>
      <c r="D68" s="257" t="s">
        <v>45</v>
      </c>
      <c r="E68" s="257" t="s">
        <v>690</v>
      </c>
      <c r="F68" s="354">
        <v>15</v>
      </c>
      <c r="G68" s="355" t="s">
        <v>187</v>
      </c>
      <c r="H68" s="280" t="s">
        <v>188</v>
      </c>
      <c r="I68" s="268" t="s">
        <v>356</v>
      </c>
      <c r="J68" s="269" t="s">
        <v>603</v>
      </c>
      <c r="K68" s="269" t="s">
        <v>604</v>
      </c>
      <c r="L68" s="269" t="s">
        <v>604</v>
      </c>
      <c r="M68" s="265">
        <v>1</v>
      </c>
      <c r="N68" s="268" t="s">
        <v>468</v>
      </c>
      <c r="O68" s="269" t="s">
        <v>605</v>
      </c>
      <c r="P68" s="290">
        <f>SUM((160/160*100)+(20/20*100)+(4/11*100)+(432/216*100))/4</f>
        <v>109.09090909090909</v>
      </c>
      <c r="Q68" s="459"/>
    </row>
    <row r="69" spans="2:17" ht="69.75" customHeight="1">
      <c r="B69" s="255">
        <v>3</v>
      </c>
      <c r="C69" s="256">
        <v>1</v>
      </c>
      <c r="D69" s="257" t="s">
        <v>45</v>
      </c>
      <c r="E69" s="257" t="s">
        <v>690</v>
      </c>
      <c r="F69" s="354">
        <v>16</v>
      </c>
      <c r="G69" s="356" t="s">
        <v>609</v>
      </c>
      <c r="H69" s="324" t="s">
        <v>610</v>
      </c>
      <c r="I69" s="268" t="s">
        <v>194</v>
      </c>
      <c r="J69" s="269" t="s">
        <v>194</v>
      </c>
      <c r="K69" s="269" t="s">
        <v>194</v>
      </c>
      <c r="L69" s="269" t="s">
        <v>194</v>
      </c>
      <c r="M69" s="265">
        <v>1</v>
      </c>
      <c r="N69" s="357" t="s">
        <v>611</v>
      </c>
      <c r="O69" s="269" t="s">
        <v>612</v>
      </c>
      <c r="P69" s="290">
        <f>((30/30*100)+(6/6*100)+(66/66*100))/3</f>
        <v>100</v>
      </c>
      <c r="Q69" s="459"/>
    </row>
    <row r="70" spans="2:17" ht="213" customHeight="1">
      <c r="B70" s="255">
        <v>3</v>
      </c>
      <c r="C70" s="256">
        <v>1</v>
      </c>
      <c r="D70" s="257" t="s">
        <v>45</v>
      </c>
      <c r="E70" s="257" t="s">
        <v>690</v>
      </c>
      <c r="F70" s="353">
        <v>19</v>
      </c>
      <c r="G70" s="270" t="s">
        <v>197</v>
      </c>
      <c r="H70" s="280" t="s">
        <v>198</v>
      </c>
      <c r="I70" s="327" t="s">
        <v>357</v>
      </c>
      <c r="J70" s="269" t="s">
        <v>200</v>
      </c>
      <c r="K70" s="269" t="s">
        <v>17</v>
      </c>
      <c r="L70" s="269" t="s">
        <v>17</v>
      </c>
      <c r="M70" s="286" t="s">
        <v>17</v>
      </c>
      <c r="N70" s="358" t="s">
        <v>17</v>
      </c>
      <c r="O70" s="327" t="s">
        <v>357</v>
      </c>
      <c r="P70" s="287">
        <f>SUM((11/11*100)+(1/1*100))/2</f>
        <v>100</v>
      </c>
      <c r="Q70" s="459"/>
    </row>
    <row r="71" spans="2:17" ht="99.75" customHeight="1">
      <c r="B71" s="255">
        <v>3</v>
      </c>
      <c r="C71" s="256">
        <v>1</v>
      </c>
      <c r="D71" s="257" t="s">
        <v>45</v>
      </c>
      <c r="E71" s="257" t="s">
        <v>690</v>
      </c>
      <c r="F71" s="353">
        <v>20</v>
      </c>
      <c r="G71" s="270" t="s">
        <v>201</v>
      </c>
      <c r="H71" s="280" t="s">
        <v>202</v>
      </c>
      <c r="I71" s="268" t="s">
        <v>358</v>
      </c>
      <c r="J71" s="269" t="s">
        <v>606</v>
      </c>
      <c r="K71" s="269" t="s">
        <v>359</v>
      </c>
      <c r="L71" s="269" t="s">
        <v>359</v>
      </c>
      <c r="M71" s="286">
        <v>1</v>
      </c>
      <c r="N71" s="268" t="s">
        <v>607</v>
      </c>
      <c r="O71" s="359" t="s">
        <v>608</v>
      </c>
      <c r="P71" s="360">
        <f>SUM((2/2*0)+(1/1*100)+(10/10*100)+(8/4*100)+(0/120*100))/5</f>
        <v>80</v>
      </c>
      <c r="Q71" s="459"/>
    </row>
    <row r="72" spans="2:17" ht="60.75" customHeight="1">
      <c r="B72" s="255">
        <v>3</v>
      </c>
      <c r="C72" s="256">
        <v>1</v>
      </c>
      <c r="D72" s="257" t="s">
        <v>45</v>
      </c>
      <c r="E72" s="257" t="s">
        <v>690</v>
      </c>
      <c r="F72" s="353">
        <v>22</v>
      </c>
      <c r="G72" s="272" t="s">
        <v>203</v>
      </c>
      <c r="H72" s="280" t="s">
        <v>204</v>
      </c>
      <c r="I72" s="327" t="s">
        <v>207</v>
      </c>
      <c r="J72" s="269" t="s">
        <v>207</v>
      </c>
      <c r="K72" s="269" t="s">
        <v>17</v>
      </c>
      <c r="L72" s="269" t="s">
        <v>17</v>
      </c>
      <c r="M72" s="286" t="s">
        <v>17</v>
      </c>
      <c r="N72" s="327" t="s">
        <v>17</v>
      </c>
      <c r="O72" s="327" t="s">
        <v>383</v>
      </c>
      <c r="P72" s="287">
        <f>SUM(32/32*100)</f>
        <v>100</v>
      </c>
      <c r="Q72" s="459"/>
    </row>
    <row r="73" spans="2:17" ht="102" customHeight="1">
      <c r="B73" s="255">
        <v>3</v>
      </c>
      <c r="C73" s="256">
        <v>1</v>
      </c>
      <c r="D73" s="257" t="s">
        <v>45</v>
      </c>
      <c r="E73" s="257" t="s">
        <v>690</v>
      </c>
      <c r="F73" s="353">
        <v>29</v>
      </c>
      <c r="G73" s="270" t="s">
        <v>208</v>
      </c>
      <c r="H73" s="280" t="s">
        <v>209</v>
      </c>
      <c r="I73" s="268" t="s">
        <v>360</v>
      </c>
      <c r="J73" s="268" t="s">
        <v>613</v>
      </c>
      <c r="K73" s="268" t="s">
        <v>614</v>
      </c>
      <c r="L73" s="268" t="s">
        <v>614</v>
      </c>
      <c r="M73" s="286">
        <v>1</v>
      </c>
      <c r="N73" s="268" t="s">
        <v>615</v>
      </c>
      <c r="O73" s="268" t="s">
        <v>616</v>
      </c>
      <c r="P73" s="287">
        <f>SUM((2/2*100)+(17/32*100)+(17/32*100))/3</f>
        <v>68.75</v>
      </c>
      <c r="Q73" s="459"/>
    </row>
    <row r="74" spans="2:17" ht="56.25" customHeight="1">
      <c r="B74" s="255">
        <v>3</v>
      </c>
      <c r="C74" s="256">
        <v>1</v>
      </c>
      <c r="D74" s="257" t="s">
        <v>45</v>
      </c>
      <c r="E74" s="257" t="s">
        <v>690</v>
      </c>
      <c r="F74" s="353">
        <v>30</v>
      </c>
      <c r="G74" s="270" t="s">
        <v>210</v>
      </c>
      <c r="H74" s="280" t="s">
        <v>211</v>
      </c>
      <c r="I74" s="268" t="s">
        <v>361</v>
      </c>
      <c r="J74" s="269" t="s">
        <v>617</v>
      </c>
      <c r="K74" s="269" t="s">
        <v>618</v>
      </c>
      <c r="L74" s="269" t="s">
        <v>618</v>
      </c>
      <c r="M74" s="286">
        <v>1</v>
      </c>
      <c r="N74" s="268" t="s">
        <v>469</v>
      </c>
      <c r="O74" s="268" t="s">
        <v>619</v>
      </c>
      <c r="P74" s="287">
        <f>SUM((4/5*100)+(30/30)+(4/2*100))/3</f>
        <v>93.666666666666671</v>
      </c>
      <c r="Q74" s="460"/>
    </row>
    <row r="75" spans="2:17" ht="83.25" customHeight="1">
      <c r="B75" s="255">
        <v>3</v>
      </c>
      <c r="C75" s="256">
        <v>1</v>
      </c>
      <c r="D75" s="257" t="s">
        <v>45</v>
      </c>
      <c r="E75" s="257" t="s">
        <v>690</v>
      </c>
      <c r="F75" s="353">
        <v>31</v>
      </c>
      <c r="G75" s="270" t="s">
        <v>212</v>
      </c>
      <c r="H75" s="280" t="s">
        <v>213</v>
      </c>
      <c r="I75" s="268" t="s">
        <v>362</v>
      </c>
      <c r="J75" s="269" t="s">
        <v>620</v>
      </c>
      <c r="K75" s="269" t="s">
        <v>220</v>
      </c>
      <c r="L75" s="269" t="s">
        <v>220</v>
      </c>
      <c r="M75" s="286">
        <v>1</v>
      </c>
      <c r="N75" s="268" t="s">
        <v>220</v>
      </c>
      <c r="O75" s="268" t="s">
        <v>621</v>
      </c>
      <c r="P75" s="287">
        <f>SUM(4/5*100)</f>
        <v>80</v>
      </c>
      <c r="Q75" s="461"/>
    </row>
    <row r="76" spans="2:17" ht="152.25" customHeight="1">
      <c r="B76" s="255">
        <v>3</v>
      </c>
      <c r="C76" s="256">
        <v>1</v>
      </c>
      <c r="D76" s="257" t="s">
        <v>45</v>
      </c>
      <c r="E76" s="257" t="s">
        <v>690</v>
      </c>
      <c r="F76" s="353">
        <v>32</v>
      </c>
      <c r="G76" s="270" t="s">
        <v>214</v>
      </c>
      <c r="H76" s="280" t="s">
        <v>215</v>
      </c>
      <c r="I76" s="268" t="s">
        <v>364</v>
      </c>
      <c r="J76" s="269" t="s">
        <v>622</v>
      </c>
      <c r="K76" s="269" t="s">
        <v>623</v>
      </c>
      <c r="L76" s="269" t="s">
        <v>623</v>
      </c>
      <c r="M76" s="286">
        <v>1</v>
      </c>
      <c r="N76" s="268" t="s">
        <v>624</v>
      </c>
      <c r="O76" s="268" t="s">
        <v>625</v>
      </c>
      <c r="P76" s="287">
        <f>SUM((34/18*100)+(1/1*100))/2</f>
        <v>144.44444444444446</v>
      </c>
      <c r="Q76" s="461"/>
    </row>
    <row r="77" spans="2:17" ht="101.25" customHeight="1">
      <c r="B77" s="255">
        <v>3</v>
      </c>
      <c r="C77" s="256">
        <v>1</v>
      </c>
      <c r="D77" s="257" t="s">
        <v>45</v>
      </c>
      <c r="E77" s="257" t="s">
        <v>690</v>
      </c>
      <c r="F77" s="361">
        <v>33</v>
      </c>
      <c r="G77" s="270" t="s">
        <v>216</v>
      </c>
      <c r="H77" s="280" t="s">
        <v>626</v>
      </c>
      <c r="I77" s="327" t="s">
        <v>627</v>
      </c>
      <c r="J77" s="269" t="s">
        <v>224</v>
      </c>
      <c r="K77" s="269" t="s">
        <v>194</v>
      </c>
      <c r="L77" s="269" t="s">
        <v>194</v>
      </c>
      <c r="M77" s="286">
        <v>1</v>
      </c>
      <c r="N77" s="268" t="s">
        <v>628</v>
      </c>
      <c r="O77" s="327" t="s">
        <v>629</v>
      </c>
      <c r="P77" s="287">
        <f>((14/14*100)+(30/30*100)+(12/12*100)+(4/4*100))/4</f>
        <v>100</v>
      </c>
      <c r="Q77" s="462"/>
    </row>
    <row r="78" spans="2:17" ht="145.5" customHeight="1">
      <c r="B78" s="255">
        <v>3</v>
      </c>
      <c r="C78" s="256">
        <v>1</v>
      </c>
      <c r="D78" s="257" t="s">
        <v>45</v>
      </c>
      <c r="E78" s="257" t="s">
        <v>690</v>
      </c>
      <c r="F78" s="362">
        <v>34</v>
      </c>
      <c r="G78" s="270" t="s">
        <v>226</v>
      </c>
      <c r="H78" s="280" t="s">
        <v>227</v>
      </c>
      <c r="I78" s="268" t="s">
        <v>365</v>
      </c>
      <c r="J78" s="269" t="s">
        <v>630</v>
      </c>
      <c r="K78" s="363" t="s">
        <v>389</v>
      </c>
      <c r="L78" s="363" t="s">
        <v>389</v>
      </c>
      <c r="M78" s="286">
        <v>1</v>
      </c>
      <c r="N78" s="268" t="s">
        <v>470</v>
      </c>
      <c r="O78" s="268" t="s">
        <v>631</v>
      </c>
      <c r="P78" s="364">
        <f>SUM((120/120*100)+(1/1*100)+(7/7*100)+(10/10*100)+(7/7*100)+(31/31*100)+(4/8*100))/7</f>
        <v>92.857142857142861</v>
      </c>
      <c r="Q78" s="463"/>
    </row>
    <row r="79" spans="2:17" ht="116.25" customHeight="1">
      <c r="B79" s="255">
        <v>3</v>
      </c>
      <c r="C79" s="256">
        <v>1</v>
      </c>
      <c r="D79" s="257" t="s">
        <v>45</v>
      </c>
      <c r="E79" s="257" t="s">
        <v>690</v>
      </c>
      <c r="F79" s="257">
        <v>35</v>
      </c>
      <c r="G79" s="270" t="s">
        <v>228</v>
      </c>
      <c r="H79" s="280" t="s">
        <v>229</v>
      </c>
      <c r="I79" s="268" t="s">
        <v>366</v>
      </c>
      <c r="J79" s="269" t="s">
        <v>632</v>
      </c>
      <c r="K79" s="269" t="s">
        <v>253</v>
      </c>
      <c r="L79" s="269" t="s">
        <v>253</v>
      </c>
      <c r="M79" s="365">
        <v>0.66</v>
      </c>
      <c r="N79" s="268" t="s">
        <v>247</v>
      </c>
      <c r="O79" s="268" t="s">
        <v>633</v>
      </c>
      <c r="P79" s="364">
        <f>SUM((6/5*100)+(5/5*100))/2</f>
        <v>110</v>
      </c>
      <c r="Q79" s="464"/>
    </row>
    <row r="80" spans="2:17" ht="57.75" customHeight="1">
      <c r="B80" s="255">
        <v>3</v>
      </c>
      <c r="C80" s="256">
        <v>1</v>
      </c>
      <c r="D80" s="257" t="s">
        <v>45</v>
      </c>
      <c r="E80" s="257" t="s">
        <v>690</v>
      </c>
      <c r="F80" s="362">
        <v>37</v>
      </c>
      <c r="G80" s="270" t="s">
        <v>230</v>
      </c>
      <c r="H80" s="280" t="s">
        <v>231</v>
      </c>
      <c r="I80" s="268" t="s">
        <v>367</v>
      </c>
      <c r="J80" s="269" t="s">
        <v>634</v>
      </c>
      <c r="K80" s="269" t="s">
        <v>635</v>
      </c>
      <c r="L80" s="269" t="s">
        <v>635</v>
      </c>
      <c r="M80" s="286">
        <v>1</v>
      </c>
      <c r="N80" s="268" t="s">
        <v>636</v>
      </c>
      <c r="O80" s="268" t="s">
        <v>637</v>
      </c>
      <c r="P80" s="364">
        <f>SUM(477/960*100)</f>
        <v>49.6875</v>
      </c>
      <c r="Q80" s="465"/>
    </row>
    <row r="81" spans="2:17" ht="60" customHeight="1">
      <c r="B81" s="255">
        <v>3</v>
      </c>
      <c r="C81" s="256">
        <v>1</v>
      </c>
      <c r="D81" s="257" t="s">
        <v>45</v>
      </c>
      <c r="E81" s="257" t="s">
        <v>690</v>
      </c>
      <c r="F81" s="366">
        <v>38</v>
      </c>
      <c r="G81" s="270" t="s">
        <v>235</v>
      </c>
      <c r="H81" s="280" t="s">
        <v>236</v>
      </c>
      <c r="I81" s="367" t="s">
        <v>471</v>
      </c>
      <c r="J81" s="367" t="s">
        <v>638</v>
      </c>
      <c r="K81" s="367" t="s">
        <v>472</v>
      </c>
      <c r="L81" s="367" t="s">
        <v>472</v>
      </c>
      <c r="M81" s="286">
        <v>1</v>
      </c>
      <c r="N81" s="367" t="s">
        <v>473</v>
      </c>
      <c r="O81" s="367" t="s">
        <v>639</v>
      </c>
      <c r="P81" s="364">
        <f>SUM((30/30*100)+(3/4*100)+(3/4*100))/3</f>
        <v>83.333333333333329</v>
      </c>
      <c r="Q81" s="466"/>
    </row>
    <row r="82" spans="2:17" ht="57.75" customHeight="1">
      <c r="B82" s="255">
        <v>3</v>
      </c>
      <c r="C82" s="256">
        <v>1</v>
      </c>
      <c r="D82" s="257" t="s">
        <v>45</v>
      </c>
      <c r="E82" s="257" t="s">
        <v>690</v>
      </c>
      <c r="F82" s="368">
        <v>39</v>
      </c>
      <c r="G82" s="270" t="s">
        <v>237</v>
      </c>
      <c r="H82" s="280" t="s">
        <v>238</v>
      </c>
      <c r="I82" s="268" t="s">
        <v>642</v>
      </c>
      <c r="J82" s="269" t="s">
        <v>640</v>
      </c>
      <c r="K82" s="269" t="s">
        <v>467</v>
      </c>
      <c r="L82" s="269" t="s">
        <v>467</v>
      </c>
      <c r="M82" s="286">
        <v>1</v>
      </c>
      <c r="N82" s="268" t="s">
        <v>641</v>
      </c>
      <c r="O82" s="268" t="s">
        <v>643</v>
      </c>
      <c r="P82" s="364">
        <f>SUM((16/16*100)+(4/4*100))/2</f>
        <v>100</v>
      </c>
      <c r="Q82" s="467"/>
    </row>
    <row r="83" spans="2:17" ht="123" customHeight="1">
      <c r="B83" s="255">
        <v>3</v>
      </c>
      <c r="C83" s="256">
        <v>1</v>
      </c>
      <c r="D83" s="257" t="s">
        <v>45</v>
      </c>
      <c r="E83" s="257" t="s">
        <v>690</v>
      </c>
      <c r="F83" s="368">
        <v>40</v>
      </c>
      <c r="G83" s="246" t="s">
        <v>644</v>
      </c>
      <c r="H83" s="369" t="s">
        <v>645</v>
      </c>
      <c r="I83" s="268" t="s">
        <v>646</v>
      </c>
      <c r="J83" s="269" t="s">
        <v>648</v>
      </c>
      <c r="K83" s="269" t="s">
        <v>647</v>
      </c>
      <c r="L83" s="269" t="s">
        <v>648</v>
      </c>
      <c r="M83" s="286">
        <v>1</v>
      </c>
      <c r="N83" s="268" t="s">
        <v>649</v>
      </c>
      <c r="O83" s="268" t="s">
        <v>650</v>
      </c>
      <c r="P83" s="364">
        <f>((10/36*100))</f>
        <v>27.777777777777779</v>
      </c>
      <c r="Q83" s="467"/>
    </row>
    <row r="84" spans="2:17" ht="46.5" customHeight="1">
      <c r="B84" s="255">
        <v>3</v>
      </c>
      <c r="C84" s="256">
        <v>1</v>
      </c>
      <c r="D84" s="257" t="s">
        <v>45</v>
      </c>
      <c r="E84" s="257" t="s">
        <v>690</v>
      </c>
      <c r="F84" s="368">
        <v>42</v>
      </c>
      <c r="G84" s="370" t="s">
        <v>239</v>
      </c>
      <c r="H84" s="280" t="s">
        <v>240</v>
      </c>
      <c r="I84" s="371" t="s">
        <v>351</v>
      </c>
      <c r="J84" s="372" t="s">
        <v>253</v>
      </c>
      <c r="K84" s="372" t="s">
        <v>219</v>
      </c>
      <c r="L84" s="372" t="s">
        <v>268</v>
      </c>
      <c r="M84" s="286">
        <v>1</v>
      </c>
      <c r="N84" s="371" t="s">
        <v>219</v>
      </c>
      <c r="O84" s="371" t="s">
        <v>352</v>
      </c>
      <c r="P84" s="364">
        <f>SUM(7/9*100)</f>
        <v>77.777777777777786</v>
      </c>
      <c r="Q84" s="468"/>
    </row>
    <row r="85" spans="2:17" ht="113.25" customHeight="1">
      <c r="B85" s="255">
        <v>3</v>
      </c>
      <c r="C85" s="256">
        <v>1</v>
      </c>
      <c r="D85" s="257" t="s">
        <v>45</v>
      </c>
      <c r="E85" s="257" t="s">
        <v>690</v>
      </c>
      <c r="F85" s="368">
        <v>43</v>
      </c>
      <c r="G85" s="370" t="s">
        <v>241</v>
      </c>
      <c r="H85" s="373" t="s">
        <v>250</v>
      </c>
      <c r="I85" s="371" t="s">
        <v>368</v>
      </c>
      <c r="J85" s="372" t="s">
        <v>651</v>
      </c>
      <c r="K85" s="372" t="s">
        <v>652</v>
      </c>
      <c r="L85" s="372" t="s">
        <v>652</v>
      </c>
      <c r="M85" s="286">
        <v>1</v>
      </c>
      <c r="N85" s="371" t="s">
        <v>653</v>
      </c>
      <c r="O85" s="371" t="s">
        <v>654</v>
      </c>
      <c r="P85" s="364">
        <f>SUM((5/6*100)+(100/100*100)+(11/18*100))/3</f>
        <v>81.481481481481481</v>
      </c>
      <c r="Q85" s="469"/>
    </row>
    <row r="86" spans="2:17" ht="54" customHeight="1">
      <c r="B86" s="255">
        <v>3</v>
      </c>
      <c r="C86" s="256">
        <v>1</v>
      </c>
      <c r="D86" s="257" t="s">
        <v>45</v>
      </c>
      <c r="E86" s="257" t="s">
        <v>690</v>
      </c>
      <c r="F86" s="274">
        <v>44</v>
      </c>
      <c r="G86" s="370" t="s">
        <v>242</v>
      </c>
      <c r="H86" s="370" t="s">
        <v>243</v>
      </c>
      <c r="I86" s="371" t="s">
        <v>219</v>
      </c>
      <c r="J86" s="372" t="s">
        <v>268</v>
      </c>
      <c r="K86" s="372" t="s">
        <v>17</v>
      </c>
      <c r="L86" s="372" t="s">
        <v>17</v>
      </c>
      <c r="M86" s="286" t="s">
        <v>17</v>
      </c>
      <c r="N86" s="371" t="s">
        <v>17</v>
      </c>
      <c r="O86" s="371" t="s">
        <v>268</v>
      </c>
      <c r="P86" s="364">
        <f>SUM(2/2*100)</f>
        <v>100</v>
      </c>
      <c r="Q86" s="447"/>
    </row>
    <row r="87" spans="2:17" ht="37.5" customHeight="1">
      <c r="B87" s="255">
        <v>3</v>
      </c>
      <c r="C87" s="256">
        <v>1</v>
      </c>
      <c r="D87" s="257" t="s">
        <v>45</v>
      </c>
      <c r="E87" s="257" t="s">
        <v>690</v>
      </c>
      <c r="F87" s="366">
        <v>45</v>
      </c>
      <c r="G87" s="374" t="s">
        <v>244</v>
      </c>
      <c r="H87" s="374" t="s">
        <v>245</v>
      </c>
      <c r="I87" s="371" t="s">
        <v>369</v>
      </c>
      <c r="J87" s="372" t="s">
        <v>474</v>
      </c>
      <c r="K87" s="372" t="s">
        <v>17</v>
      </c>
      <c r="L87" s="372" t="s">
        <v>17</v>
      </c>
      <c r="M87" s="286" t="s">
        <v>17</v>
      </c>
      <c r="N87" s="371" t="s">
        <v>17</v>
      </c>
      <c r="O87" s="371" t="s">
        <v>369</v>
      </c>
      <c r="P87" s="364">
        <f>SUM(69271/69271*100)</f>
        <v>100</v>
      </c>
      <c r="Q87" s="445"/>
    </row>
    <row r="88" spans="2:17" ht="59.25" customHeight="1">
      <c r="B88" s="255">
        <v>3</v>
      </c>
      <c r="C88" s="256">
        <v>1</v>
      </c>
      <c r="D88" s="257" t="s">
        <v>45</v>
      </c>
      <c r="E88" s="257" t="s">
        <v>690</v>
      </c>
      <c r="F88" s="366">
        <v>46</v>
      </c>
      <c r="G88" s="374" t="s">
        <v>251</v>
      </c>
      <c r="H88" s="374" t="s">
        <v>252</v>
      </c>
      <c r="I88" s="375" t="s">
        <v>218</v>
      </c>
      <c r="J88" s="372" t="s">
        <v>253</v>
      </c>
      <c r="K88" s="372" t="s">
        <v>17</v>
      </c>
      <c r="L88" s="372" t="s">
        <v>17</v>
      </c>
      <c r="M88" s="376">
        <v>0</v>
      </c>
      <c r="N88" s="375" t="s">
        <v>17</v>
      </c>
      <c r="O88" s="375" t="s">
        <v>253</v>
      </c>
      <c r="P88" s="364">
        <f>SUM(3/3*100)</f>
        <v>100</v>
      </c>
      <c r="Q88" s="445"/>
    </row>
    <row r="89" spans="2:17" ht="48.75" customHeight="1">
      <c r="B89" s="255">
        <v>3</v>
      </c>
      <c r="C89" s="256">
        <v>1</v>
      </c>
      <c r="D89" s="257" t="s">
        <v>45</v>
      </c>
      <c r="E89" s="257" t="s">
        <v>690</v>
      </c>
      <c r="F89" s="366">
        <v>47</v>
      </c>
      <c r="G89" s="377" t="s">
        <v>254</v>
      </c>
      <c r="H89" s="370" t="s">
        <v>255</v>
      </c>
      <c r="I89" s="371" t="s">
        <v>370</v>
      </c>
      <c r="J89" s="372" t="s">
        <v>476</v>
      </c>
      <c r="K89" s="378" t="s">
        <v>655</v>
      </c>
      <c r="L89" s="378" t="s">
        <v>655</v>
      </c>
      <c r="M89" s="286">
        <v>1</v>
      </c>
      <c r="N89" s="371" t="s">
        <v>475</v>
      </c>
      <c r="O89" s="371" t="s">
        <v>656</v>
      </c>
      <c r="P89" s="364">
        <f>SUM((658406/710064*100)+(18/30*100)+(198/330*100))/3</f>
        <v>70.908293712491641</v>
      </c>
      <c r="Q89" s="445"/>
    </row>
    <row r="90" spans="2:17" ht="60" customHeight="1">
      <c r="B90" s="255">
        <v>3</v>
      </c>
      <c r="C90" s="256">
        <v>1</v>
      </c>
      <c r="D90" s="257" t="s">
        <v>45</v>
      </c>
      <c r="E90" s="257" t="s">
        <v>690</v>
      </c>
      <c r="F90" s="379">
        <v>48</v>
      </c>
      <c r="G90" s="370" t="s">
        <v>257</v>
      </c>
      <c r="H90" s="370" t="s">
        <v>258</v>
      </c>
      <c r="I90" s="371" t="s">
        <v>477</v>
      </c>
      <c r="J90" s="372" t="s">
        <v>657</v>
      </c>
      <c r="K90" s="372" t="s">
        <v>658</v>
      </c>
      <c r="L90" s="372" t="s">
        <v>658</v>
      </c>
      <c r="M90" s="380">
        <v>1</v>
      </c>
      <c r="N90" s="371" t="s">
        <v>659</v>
      </c>
      <c r="O90" s="371" t="s">
        <v>660</v>
      </c>
      <c r="P90" s="381">
        <f>SUM((4/8*100)+(250/400*100))/2</f>
        <v>56.25</v>
      </c>
      <c r="Q90" s="457"/>
    </row>
    <row r="91" spans="2:17" ht="58.5" customHeight="1">
      <c r="B91" s="255">
        <v>3</v>
      </c>
      <c r="C91" s="256">
        <v>1</v>
      </c>
      <c r="D91" s="257" t="s">
        <v>45</v>
      </c>
      <c r="E91" s="257" t="s">
        <v>690</v>
      </c>
      <c r="F91" s="368">
        <v>49</v>
      </c>
      <c r="G91" s="370" t="s">
        <v>261</v>
      </c>
      <c r="H91" s="370" t="s">
        <v>262</v>
      </c>
      <c r="I91" s="371" t="s">
        <v>371</v>
      </c>
      <c r="J91" s="372" t="s">
        <v>19</v>
      </c>
      <c r="K91" s="372" t="s">
        <v>15</v>
      </c>
      <c r="L91" s="372" t="s">
        <v>15</v>
      </c>
      <c r="M91" s="380">
        <v>1</v>
      </c>
      <c r="N91" s="371" t="s">
        <v>247</v>
      </c>
      <c r="O91" s="371" t="s">
        <v>661</v>
      </c>
      <c r="P91" s="381">
        <f>SUM(6/7*100)</f>
        <v>85.714285714285708</v>
      </c>
      <c r="Q91" s="470"/>
    </row>
    <row r="92" spans="2:17" ht="57.75" customHeight="1">
      <c r="B92" s="255">
        <v>3</v>
      </c>
      <c r="C92" s="256">
        <v>1</v>
      </c>
      <c r="D92" s="257" t="s">
        <v>45</v>
      </c>
      <c r="E92" s="257" t="s">
        <v>690</v>
      </c>
      <c r="F92" s="382">
        <v>50</v>
      </c>
      <c r="G92" s="370" t="s">
        <v>263</v>
      </c>
      <c r="H92" s="370" t="s">
        <v>264</v>
      </c>
      <c r="I92" s="375" t="s">
        <v>479</v>
      </c>
      <c r="J92" s="378" t="s">
        <v>17</v>
      </c>
      <c r="K92" s="371" t="s">
        <v>662</v>
      </c>
      <c r="L92" s="371" t="s">
        <v>662</v>
      </c>
      <c r="M92" s="286">
        <v>0</v>
      </c>
      <c r="N92" s="371" t="s">
        <v>663</v>
      </c>
      <c r="O92" s="375" t="s">
        <v>664</v>
      </c>
      <c r="P92" s="364">
        <f>SUM((2/4*100)+(81988/191108*100))/2</f>
        <v>46.450698034619165</v>
      </c>
      <c r="Q92" s="471"/>
    </row>
    <row r="93" spans="2:17" ht="58.5" customHeight="1">
      <c r="B93" s="255">
        <v>3</v>
      </c>
      <c r="C93" s="256">
        <v>1</v>
      </c>
      <c r="D93" s="257" t="s">
        <v>45</v>
      </c>
      <c r="E93" s="257" t="s">
        <v>690</v>
      </c>
      <c r="F93" s="274">
        <v>51</v>
      </c>
      <c r="G93" s="370" t="s">
        <v>265</v>
      </c>
      <c r="H93" s="370" t="s">
        <v>266</v>
      </c>
      <c r="I93" s="375" t="s">
        <v>15</v>
      </c>
      <c r="J93" s="378" t="s">
        <v>17</v>
      </c>
      <c r="K93" s="378" t="s">
        <v>17</v>
      </c>
      <c r="L93" s="378" t="s">
        <v>17</v>
      </c>
      <c r="M93" s="286">
        <v>0</v>
      </c>
      <c r="N93" s="375" t="s">
        <v>17</v>
      </c>
      <c r="O93" s="375" t="s">
        <v>247</v>
      </c>
      <c r="P93" s="364">
        <f>SUM(1/1*100)</f>
        <v>100</v>
      </c>
      <c r="Q93" s="441"/>
    </row>
    <row r="94" spans="2:17" ht="71.25" customHeight="1">
      <c r="B94" s="255">
        <v>3</v>
      </c>
      <c r="C94" s="256">
        <v>1</v>
      </c>
      <c r="D94" s="257" t="s">
        <v>45</v>
      </c>
      <c r="E94" s="257" t="s">
        <v>690</v>
      </c>
      <c r="F94" s="368">
        <v>52</v>
      </c>
      <c r="G94" s="370" t="s">
        <v>267</v>
      </c>
      <c r="H94" s="383" t="s">
        <v>269</v>
      </c>
      <c r="I94" s="371" t="s">
        <v>372</v>
      </c>
      <c r="J94" s="372" t="s">
        <v>667</v>
      </c>
      <c r="K94" s="384" t="s">
        <v>665</v>
      </c>
      <c r="L94" s="384" t="s">
        <v>665</v>
      </c>
      <c r="M94" s="380">
        <v>1</v>
      </c>
      <c r="N94" s="371" t="s">
        <v>666</v>
      </c>
      <c r="O94" s="371" t="s">
        <v>668</v>
      </c>
      <c r="P94" s="381">
        <f>SUM((7/9*100)+(35000/28300*100)+(128/138*100))/3</f>
        <v>98.068770875653669</v>
      </c>
      <c r="Q94" s="472"/>
    </row>
    <row r="95" spans="2:17" ht="81" customHeight="1">
      <c r="B95" s="255">
        <v>3</v>
      </c>
      <c r="C95" s="256">
        <v>1</v>
      </c>
      <c r="D95" s="257" t="s">
        <v>45</v>
      </c>
      <c r="E95" s="257" t="s">
        <v>690</v>
      </c>
      <c r="F95" s="368">
        <v>53</v>
      </c>
      <c r="G95" s="370" t="s">
        <v>270</v>
      </c>
      <c r="H95" s="385" t="s">
        <v>273</v>
      </c>
      <c r="I95" s="371" t="s">
        <v>373</v>
      </c>
      <c r="J95" s="372" t="s">
        <v>669</v>
      </c>
      <c r="K95" s="372" t="s">
        <v>480</v>
      </c>
      <c r="L95" s="372" t="s">
        <v>480</v>
      </c>
      <c r="M95" s="380">
        <v>1</v>
      </c>
      <c r="N95" s="371" t="s">
        <v>374</v>
      </c>
      <c r="O95" s="372" t="s">
        <v>670</v>
      </c>
      <c r="P95" s="381">
        <f>SUM((55/55*100)+(5/5*100)+(8/8*100)+(3/4*100)+(300/400*100))/5</f>
        <v>90</v>
      </c>
      <c r="Q95" s="473"/>
    </row>
    <row r="96" spans="2:17" ht="58.5" customHeight="1">
      <c r="B96" s="255">
        <v>3</v>
      </c>
      <c r="C96" s="256">
        <v>1</v>
      </c>
      <c r="D96" s="257" t="s">
        <v>45</v>
      </c>
      <c r="E96" s="257" t="s">
        <v>690</v>
      </c>
      <c r="F96" s="368">
        <v>54</v>
      </c>
      <c r="G96" s="377" t="s">
        <v>274</v>
      </c>
      <c r="H96" s="373" t="s">
        <v>275</v>
      </c>
      <c r="I96" s="371" t="s">
        <v>375</v>
      </c>
      <c r="J96" s="372" t="s">
        <v>485</v>
      </c>
      <c r="K96" s="372" t="s">
        <v>276</v>
      </c>
      <c r="L96" s="372" t="s">
        <v>276</v>
      </c>
      <c r="M96" s="380">
        <v>1</v>
      </c>
      <c r="N96" s="371" t="s">
        <v>276</v>
      </c>
      <c r="O96" s="371" t="s">
        <v>671</v>
      </c>
      <c r="P96" s="381">
        <f>SUM(19/25*100)</f>
        <v>76</v>
      </c>
      <c r="Q96" s="474"/>
    </row>
    <row r="97" spans="2:19" ht="58.5" customHeight="1">
      <c r="B97" s="255">
        <v>3</v>
      </c>
      <c r="C97" s="256">
        <v>1</v>
      </c>
      <c r="D97" s="257" t="s">
        <v>45</v>
      </c>
      <c r="E97" s="257" t="s">
        <v>690</v>
      </c>
      <c r="F97" s="368">
        <v>55</v>
      </c>
      <c r="G97" s="370" t="s">
        <v>277</v>
      </c>
      <c r="H97" s="373" t="s">
        <v>278</v>
      </c>
      <c r="I97" s="375" t="s">
        <v>376</v>
      </c>
      <c r="J97" s="378" t="s">
        <v>17</v>
      </c>
      <c r="K97" s="378" t="s">
        <v>17</v>
      </c>
      <c r="L97" s="378" t="s">
        <v>17</v>
      </c>
      <c r="M97" s="286">
        <v>1</v>
      </c>
      <c r="N97" s="375" t="s">
        <v>17</v>
      </c>
      <c r="O97" s="375" t="s">
        <v>17</v>
      </c>
      <c r="P97" s="364">
        <v>0</v>
      </c>
      <c r="Q97" s="475"/>
    </row>
    <row r="98" spans="2:19" ht="88.5" customHeight="1">
      <c r="B98" s="255">
        <v>3</v>
      </c>
      <c r="C98" s="256">
        <v>1</v>
      </c>
      <c r="D98" s="257" t="s">
        <v>45</v>
      </c>
      <c r="E98" s="257" t="s">
        <v>690</v>
      </c>
      <c r="F98" s="368">
        <v>56</v>
      </c>
      <c r="G98" s="370" t="s">
        <v>279</v>
      </c>
      <c r="H98" s="373" t="s">
        <v>280</v>
      </c>
      <c r="I98" s="371" t="s">
        <v>377</v>
      </c>
      <c r="J98" s="378" t="s">
        <v>481</v>
      </c>
      <c r="K98" s="372" t="s">
        <v>672</v>
      </c>
      <c r="L98" s="372" t="s">
        <v>672</v>
      </c>
      <c r="M98" s="286">
        <v>1</v>
      </c>
      <c r="N98" s="371" t="s">
        <v>673</v>
      </c>
      <c r="O98" s="371" t="s">
        <v>674</v>
      </c>
      <c r="P98" s="381">
        <f>SUM((2/2*100)+(12/18*100))/2</f>
        <v>83.333333333333329</v>
      </c>
      <c r="Q98" s="475"/>
    </row>
    <row r="99" spans="2:19" ht="48" customHeight="1">
      <c r="B99" s="255">
        <v>3</v>
      </c>
      <c r="C99" s="256">
        <v>1</v>
      </c>
      <c r="D99" s="257" t="s">
        <v>45</v>
      </c>
      <c r="E99" s="257" t="s">
        <v>690</v>
      </c>
      <c r="F99" s="368">
        <v>57</v>
      </c>
      <c r="G99" s="377" t="s">
        <v>281</v>
      </c>
      <c r="H99" s="370" t="s">
        <v>282</v>
      </c>
      <c r="I99" s="375" t="s">
        <v>17</v>
      </c>
      <c r="J99" s="372" t="s">
        <v>17</v>
      </c>
      <c r="K99" s="372" t="s">
        <v>17</v>
      </c>
      <c r="L99" s="372" t="s">
        <v>17</v>
      </c>
      <c r="M99" s="380" t="s">
        <v>17</v>
      </c>
      <c r="N99" s="375" t="s">
        <v>17</v>
      </c>
      <c r="O99" s="375" t="s">
        <v>17</v>
      </c>
      <c r="P99" s="364">
        <v>0</v>
      </c>
      <c r="Q99" s="476"/>
    </row>
    <row r="100" spans="2:19" ht="59.25" customHeight="1">
      <c r="B100" s="255">
        <v>3</v>
      </c>
      <c r="C100" s="256">
        <v>1</v>
      </c>
      <c r="D100" s="257" t="s">
        <v>45</v>
      </c>
      <c r="E100" s="257" t="s">
        <v>690</v>
      </c>
      <c r="F100" s="258">
        <v>58</v>
      </c>
      <c r="G100" s="270" t="s">
        <v>284</v>
      </c>
      <c r="H100" s="270" t="s">
        <v>285</v>
      </c>
      <c r="I100" s="268" t="s">
        <v>378</v>
      </c>
      <c r="J100" s="269" t="s">
        <v>482</v>
      </c>
      <c r="K100" s="386" t="s">
        <v>675</v>
      </c>
      <c r="L100" s="386" t="s">
        <v>676</v>
      </c>
      <c r="M100" s="286">
        <v>1</v>
      </c>
      <c r="N100" s="268" t="s">
        <v>483</v>
      </c>
      <c r="O100" s="268" t="s">
        <v>677</v>
      </c>
      <c r="P100" s="381">
        <f>SUM(7/12*100)</f>
        <v>58.333333333333336</v>
      </c>
      <c r="Q100" s="443"/>
    </row>
    <row r="101" spans="2:19" ht="57.75" customHeight="1">
      <c r="B101" s="255">
        <v>3</v>
      </c>
      <c r="C101" s="256">
        <v>1</v>
      </c>
      <c r="D101" s="257" t="s">
        <v>45</v>
      </c>
      <c r="E101" s="257" t="s">
        <v>690</v>
      </c>
      <c r="F101" s="258">
        <v>59</v>
      </c>
      <c r="G101" s="270" t="s">
        <v>287</v>
      </c>
      <c r="H101" s="387" t="s">
        <v>288</v>
      </c>
      <c r="I101" s="268" t="s">
        <v>379</v>
      </c>
      <c r="J101" s="268" t="s">
        <v>289</v>
      </c>
      <c r="K101" s="268" t="s">
        <v>247</v>
      </c>
      <c r="L101" s="268" t="s">
        <v>247</v>
      </c>
      <c r="M101" s="286">
        <v>1</v>
      </c>
      <c r="N101" s="268" t="s">
        <v>268</v>
      </c>
      <c r="O101" s="268" t="s">
        <v>678</v>
      </c>
      <c r="P101" s="381">
        <f>SUM((2/2*100)+(3/6*100))/2</f>
        <v>75</v>
      </c>
      <c r="Q101" s="443"/>
    </row>
    <row r="102" spans="2:19" ht="47.25" customHeight="1">
      <c r="B102" s="255">
        <v>3</v>
      </c>
      <c r="C102" s="256">
        <v>1</v>
      </c>
      <c r="D102" s="257" t="s">
        <v>45</v>
      </c>
      <c r="E102" s="257" t="s">
        <v>690</v>
      </c>
      <c r="F102" s="258">
        <v>60</v>
      </c>
      <c r="G102" s="270" t="s">
        <v>290</v>
      </c>
      <c r="H102" s="270" t="s">
        <v>291</v>
      </c>
      <c r="I102" s="327" t="s">
        <v>17</v>
      </c>
      <c r="J102" s="269" t="s">
        <v>17</v>
      </c>
      <c r="K102" s="269" t="s">
        <v>17</v>
      </c>
      <c r="L102" s="269" t="s">
        <v>17</v>
      </c>
      <c r="M102" s="286">
        <v>0</v>
      </c>
      <c r="N102" s="327" t="s">
        <v>17</v>
      </c>
      <c r="O102" s="327" t="s">
        <v>17</v>
      </c>
      <c r="P102" s="364">
        <v>0</v>
      </c>
      <c r="Q102" s="443"/>
      <c r="S102" s="176"/>
    </row>
    <row r="103" spans="2:19" ht="56.25" customHeight="1">
      <c r="B103" s="255">
        <v>3</v>
      </c>
      <c r="C103" s="256">
        <v>1</v>
      </c>
      <c r="D103" s="257" t="s">
        <v>45</v>
      </c>
      <c r="E103" s="257" t="s">
        <v>690</v>
      </c>
      <c r="F103" s="362">
        <v>62</v>
      </c>
      <c r="G103" s="270" t="s">
        <v>292</v>
      </c>
      <c r="H103" s="270" t="s">
        <v>293</v>
      </c>
      <c r="I103" s="388" t="s">
        <v>380</v>
      </c>
      <c r="J103" s="269" t="s">
        <v>484</v>
      </c>
      <c r="K103" s="269" t="s">
        <v>389</v>
      </c>
      <c r="L103" s="269" t="s">
        <v>389</v>
      </c>
      <c r="M103" s="286">
        <v>0.75</v>
      </c>
      <c r="N103" s="388" t="s">
        <v>294</v>
      </c>
      <c r="O103" s="388" t="s">
        <v>679</v>
      </c>
      <c r="P103" s="381">
        <f>SUM(11/16*100)</f>
        <v>68.75</v>
      </c>
      <c r="Q103" s="458"/>
    </row>
    <row r="104" spans="2:19" ht="53.25" customHeight="1">
      <c r="B104" s="255">
        <v>3</v>
      </c>
      <c r="C104" s="256">
        <v>1</v>
      </c>
      <c r="D104" s="257" t="s">
        <v>45</v>
      </c>
      <c r="E104" s="257" t="s">
        <v>690</v>
      </c>
      <c r="F104" s="362">
        <v>63</v>
      </c>
      <c r="G104" s="270" t="s">
        <v>295</v>
      </c>
      <c r="H104" s="270" t="s">
        <v>296</v>
      </c>
      <c r="I104" s="268" t="s">
        <v>381</v>
      </c>
      <c r="J104" s="269" t="s">
        <v>19</v>
      </c>
      <c r="K104" s="389" t="s">
        <v>253</v>
      </c>
      <c r="L104" s="269" t="s">
        <v>218</v>
      </c>
      <c r="M104" s="286">
        <v>1</v>
      </c>
      <c r="N104" s="268" t="s">
        <v>218</v>
      </c>
      <c r="O104" s="268" t="s">
        <v>680</v>
      </c>
      <c r="P104" s="381">
        <f>SUM(10/16*100)</f>
        <v>62.5</v>
      </c>
      <c r="Q104" s="458"/>
    </row>
    <row r="105" spans="2:19" ht="47.25" customHeight="1">
      <c r="B105" s="255">
        <v>3</v>
      </c>
      <c r="C105" s="256">
        <v>1</v>
      </c>
      <c r="D105" s="257" t="s">
        <v>45</v>
      </c>
      <c r="E105" s="257" t="s">
        <v>690</v>
      </c>
      <c r="F105" s="258">
        <v>64</v>
      </c>
      <c r="G105" s="270" t="s">
        <v>297</v>
      </c>
      <c r="H105" s="270" t="s">
        <v>298</v>
      </c>
      <c r="I105" s="268" t="s">
        <v>382</v>
      </c>
      <c r="J105" s="244" t="s">
        <v>383</v>
      </c>
      <c r="K105" s="269" t="s">
        <v>482</v>
      </c>
      <c r="L105" s="269" t="s">
        <v>482</v>
      </c>
      <c r="M105" s="286">
        <v>1</v>
      </c>
      <c r="N105" s="268" t="s">
        <v>482</v>
      </c>
      <c r="O105" s="268" t="s">
        <v>681</v>
      </c>
      <c r="P105" s="287">
        <f>SUM(38/41*100)</f>
        <v>92.682926829268297</v>
      </c>
      <c r="Q105" s="477"/>
    </row>
    <row r="106" spans="2:19" ht="73.5" customHeight="1">
      <c r="B106" s="255">
        <v>3</v>
      </c>
      <c r="C106" s="256">
        <v>1</v>
      </c>
      <c r="D106" s="257" t="s">
        <v>45</v>
      </c>
      <c r="E106" s="257" t="s">
        <v>690</v>
      </c>
      <c r="F106" s="258">
        <v>65</v>
      </c>
      <c r="G106" s="270" t="s">
        <v>299</v>
      </c>
      <c r="H106" s="270" t="s">
        <v>300</v>
      </c>
      <c r="I106" s="268" t="s">
        <v>384</v>
      </c>
      <c r="J106" s="269" t="s">
        <v>486</v>
      </c>
      <c r="K106" s="269" t="s">
        <v>486</v>
      </c>
      <c r="L106" s="269" t="s">
        <v>486</v>
      </c>
      <c r="M106" s="286">
        <v>1</v>
      </c>
      <c r="N106" s="268" t="s">
        <v>482</v>
      </c>
      <c r="O106" s="268" t="s">
        <v>682</v>
      </c>
      <c r="P106" s="287">
        <f>SUM((16/16*100)+(2/2*100)+(3/24*100))/3</f>
        <v>70.833333333333329</v>
      </c>
      <c r="Q106" s="477"/>
    </row>
    <row r="107" spans="2:19" ht="47.25" customHeight="1">
      <c r="B107" s="255">
        <v>3</v>
      </c>
      <c r="C107" s="256">
        <v>1</v>
      </c>
      <c r="D107" s="257" t="s">
        <v>45</v>
      </c>
      <c r="E107" s="257" t="s">
        <v>690</v>
      </c>
      <c r="F107" s="258">
        <v>66</v>
      </c>
      <c r="G107" s="270" t="s">
        <v>301</v>
      </c>
      <c r="H107" s="270" t="s">
        <v>302</v>
      </c>
      <c r="I107" s="268" t="s">
        <v>385</v>
      </c>
      <c r="J107" s="269" t="s">
        <v>478</v>
      </c>
      <c r="K107" s="269" t="s">
        <v>478</v>
      </c>
      <c r="L107" s="269" t="s">
        <v>478</v>
      </c>
      <c r="M107" s="286">
        <v>1</v>
      </c>
      <c r="N107" s="268" t="s">
        <v>683</v>
      </c>
      <c r="O107" s="268" t="s">
        <v>684</v>
      </c>
      <c r="P107" s="287">
        <f>SUM((3/7*100)+(400/700*100))/2</f>
        <v>50</v>
      </c>
      <c r="Q107" s="443"/>
    </row>
    <row r="108" spans="2:19" ht="48" customHeight="1">
      <c r="B108" s="255">
        <v>3</v>
      </c>
      <c r="C108" s="256">
        <v>1</v>
      </c>
      <c r="D108" s="257" t="s">
        <v>45</v>
      </c>
      <c r="E108" s="257" t="s">
        <v>690</v>
      </c>
      <c r="F108" s="258">
        <v>67</v>
      </c>
      <c r="G108" s="270" t="s">
        <v>304</v>
      </c>
      <c r="H108" s="270" t="s">
        <v>305</v>
      </c>
      <c r="I108" s="268" t="s">
        <v>386</v>
      </c>
      <c r="J108" s="269" t="s">
        <v>487</v>
      </c>
      <c r="K108" s="390" t="s">
        <v>552</v>
      </c>
      <c r="L108" s="390" t="s">
        <v>552</v>
      </c>
      <c r="M108" s="286">
        <v>1</v>
      </c>
      <c r="N108" s="268" t="s">
        <v>17</v>
      </c>
      <c r="O108" s="268" t="s">
        <v>488</v>
      </c>
      <c r="P108" s="287">
        <f>SUM((3/12*100)+(0/3*100))/2</f>
        <v>12.5</v>
      </c>
      <c r="Q108" s="443"/>
    </row>
    <row r="109" spans="2:19" ht="47.25" customHeight="1">
      <c r="B109" s="255">
        <v>3</v>
      </c>
      <c r="C109" s="256">
        <v>1</v>
      </c>
      <c r="D109" s="257" t="s">
        <v>45</v>
      </c>
      <c r="E109" s="257" t="s">
        <v>690</v>
      </c>
      <c r="F109" s="257">
        <v>68</v>
      </c>
      <c r="G109" s="270" t="s">
        <v>306</v>
      </c>
      <c r="H109" s="270" t="s">
        <v>307</v>
      </c>
      <c r="I109" s="268" t="s">
        <v>387</v>
      </c>
      <c r="J109" s="269" t="s">
        <v>344</v>
      </c>
      <c r="K109" s="269" t="s">
        <v>685</v>
      </c>
      <c r="L109" s="269" t="s">
        <v>685</v>
      </c>
      <c r="M109" s="286">
        <v>1</v>
      </c>
      <c r="N109" s="268" t="s">
        <v>686</v>
      </c>
      <c r="O109" s="268" t="s">
        <v>687</v>
      </c>
      <c r="P109" s="287">
        <f>SUM((4/4*100)+(0/12*100))/2</f>
        <v>50</v>
      </c>
      <c r="Q109" s="443"/>
    </row>
    <row r="110" spans="2:19" ht="60.75" customHeight="1">
      <c r="B110" s="255">
        <v>3</v>
      </c>
      <c r="C110" s="256">
        <v>1</v>
      </c>
      <c r="D110" s="257" t="s">
        <v>45</v>
      </c>
      <c r="E110" s="257" t="s">
        <v>690</v>
      </c>
      <c r="F110" s="257">
        <v>69</v>
      </c>
      <c r="G110" s="270" t="s">
        <v>308</v>
      </c>
      <c r="H110" s="270" t="s">
        <v>309</v>
      </c>
      <c r="I110" s="268" t="s">
        <v>388</v>
      </c>
      <c r="J110" s="269" t="s">
        <v>15</v>
      </c>
      <c r="K110" s="269" t="s">
        <v>17</v>
      </c>
      <c r="L110" s="269" t="s">
        <v>17</v>
      </c>
      <c r="M110" s="286" t="s">
        <v>17</v>
      </c>
      <c r="N110" s="268" t="s">
        <v>17</v>
      </c>
      <c r="O110" s="268" t="s">
        <v>388</v>
      </c>
      <c r="P110" s="287">
        <f>SUM((1/1*100)+(30/30*100))/2</f>
        <v>100</v>
      </c>
      <c r="Q110" s="443"/>
    </row>
    <row r="111" spans="2:19" ht="52.5" customHeight="1">
      <c r="B111" s="255">
        <v>3</v>
      </c>
      <c r="C111" s="256">
        <v>1</v>
      </c>
      <c r="D111" s="257" t="s">
        <v>45</v>
      </c>
      <c r="E111" s="257" t="s">
        <v>690</v>
      </c>
      <c r="F111" s="274">
        <v>70</v>
      </c>
      <c r="G111" s="270" t="s">
        <v>310</v>
      </c>
      <c r="H111" s="270" t="s">
        <v>311</v>
      </c>
      <c r="I111" s="388" t="s">
        <v>389</v>
      </c>
      <c r="J111" s="269" t="s">
        <v>249</v>
      </c>
      <c r="K111" s="269" t="s">
        <v>489</v>
      </c>
      <c r="L111" s="269" t="s">
        <v>489</v>
      </c>
      <c r="M111" s="286">
        <v>1</v>
      </c>
      <c r="N111" s="388" t="s">
        <v>17</v>
      </c>
      <c r="O111" s="388" t="s">
        <v>192</v>
      </c>
      <c r="P111" s="287">
        <f>SUM(2/4*100)</f>
        <v>50</v>
      </c>
      <c r="Q111" s="471"/>
    </row>
    <row r="112" spans="2:19" ht="52.5" customHeight="1">
      <c r="B112" s="255">
        <v>3</v>
      </c>
      <c r="C112" s="256">
        <v>1</v>
      </c>
      <c r="D112" s="257" t="s">
        <v>45</v>
      </c>
      <c r="E112" s="257" t="s">
        <v>690</v>
      </c>
      <c r="F112" s="274">
        <v>71</v>
      </c>
      <c r="G112" s="270" t="s">
        <v>312</v>
      </c>
      <c r="H112" s="270" t="s">
        <v>313</v>
      </c>
      <c r="I112" s="388" t="s">
        <v>389</v>
      </c>
      <c r="J112" s="269" t="s">
        <v>489</v>
      </c>
      <c r="K112" s="269" t="s">
        <v>249</v>
      </c>
      <c r="L112" s="269" t="s">
        <v>489</v>
      </c>
      <c r="M112" s="286">
        <v>1</v>
      </c>
      <c r="N112" s="388" t="s">
        <v>249</v>
      </c>
      <c r="O112" s="388" t="s">
        <v>195</v>
      </c>
      <c r="P112" s="287">
        <f>SUM(3/4*100)</f>
        <v>75</v>
      </c>
      <c r="Q112" s="471"/>
    </row>
    <row r="113" spans="2:17" ht="52.5" customHeight="1">
      <c r="B113" s="255">
        <v>3</v>
      </c>
      <c r="C113" s="256">
        <v>1</v>
      </c>
      <c r="D113" s="257" t="s">
        <v>45</v>
      </c>
      <c r="E113" s="257" t="s">
        <v>690</v>
      </c>
      <c r="F113" s="274">
        <v>72</v>
      </c>
      <c r="G113" s="270" t="s">
        <v>390</v>
      </c>
      <c r="H113" s="270" t="s">
        <v>391</v>
      </c>
      <c r="I113" s="391" t="s">
        <v>392</v>
      </c>
      <c r="J113" s="386" t="s">
        <v>17</v>
      </c>
      <c r="K113" s="269" t="s">
        <v>489</v>
      </c>
      <c r="L113" s="269" t="s">
        <v>489</v>
      </c>
      <c r="M113" s="286">
        <v>1</v>
      </c>
      <c r="N113" s="388" t="s">
        <v>17</v>
      </c>
      <c r="O113" s="392" t="s">
        <v>688</v>
      </c>
      <c r="P113" s="287">
        <f>((1/6*100)+(32/232*100))/2</f>
        <v>15.229885057471263</v>
      </c>
      <c r="Q113" s="471"/>
    </row>
    <row r="114" spans="2:17" ht="52.5" customHeight="1">
      <c r="B114" s="255">
        <v>3</v>
      </c>
      <c r="C114" s="256">
        <v>1</v>
      </c>
      <c r="D114" s="257" t="s">
        <v>45</v>
      </c>
      <c r="E114" s="257" t="s">
        <v>690</v>
      </c>
      <c r="F114" s="274">
        <v>73</v>
      </c>
      <c r="G114" s="270" t="s">
        <v>393</v>
      </c>
      <c r="H114" s="270" t="s">
        <v>394</v>
      </c>
      <c r="I114" s="388" t="s">
        <v>395</v>
      </c>
      <c r="J114" s="386" t="s">
        <v>17</v>
      </c>
      <c r="K114" s="269" t="s">
        <v>490</v>
      </c>
      <c r="L114" s="269" t="s">
        <v>490</v>
      </c>
      <c r="M114" s="286">
        <v>1</v>
      </c>
      <c r="N114" s="392" t="s">
        <v>490</v>
      </c>
      <c r="O114" s="392" t="s">
        <v>689</v>
      </c>
      <c r="P114" s="287">
        <f>(60/90*100)</f>
        <v>66.666666666666657</v>
      </c>
      <c r="Q114" s="471"/>
    </row>
    <row r="115" spans="2:17" ht="60.75" customHeight="1">
      <c r="B115" s="255">
        <v>3</v>
      </c>
      <c r="C115" s="256">
        <v>1</v>
      </c>
      <c r="D115" s="257" t="s">
        <v>45</v>
      </c>
      <c r="E115" s="257" t="s">
        <v>690</v>
      </c>
      <c r="F115" s="274">
        <v>74</v>
      </c>
      <c r="G115" s="270" t="s">
        <v>396</v>
      </c>
      <c r="H115" s="270" t="s">
        <v>397</v>
      </c>
      <c r="I115" s="388" t="s">
        <v>218</v>
      </c>
      <c r="J115" s="269" t="s">
        <v>17</v>
      </c>
      <c r="K115" s="269" t="s">
        <v>247</v>
      </c>
      <c r="L115" s="269" t="s">
        <v>247</v>
      </c>
      <c r="M115" s="286">
        <v>1</v>
      </c>
      <c r="N115" s="388" t="s">
        <v>17</v>
      </c>
      <c r="O115" s="392" t="s">
        <v>247</v>
      </c>
      <c r="P115" s="287">
        <f>(1/3*100)</f>
        <v>33.333333333333329</v>
      </c>
      <c r="Q115" s="471"/>
    </row>
    <row r="116" spans="2:17" ht="45">
      <c r="B116" s="247">
        <v>3</v>
      </c>
      <c r="C116" s="248">
        <v>1</v>
      </c>
      <c r="D116" s="249" t="s">
        <v>45</v>
      </c>
      <c r="E116" s="249" t="s">
        <v>691</v>
      </c>
      <c r="F116" s="81"/>
      <c r="G116" s="9" t="s">
        <v>692</v>
      </c>
      <c r="H116" s="264" t="s">
        <v>696</v>
      </c>
      <c r="I116" s="281">
        <v>1</v>
      </c>
      <c r="J116" s="244"/>
      <c r="K116" s="233"/>
      <c r="L116" s="244"/>
      <c r="M116" s="244"/>
      <c r="N116" s="233"/>
      <c r="O116" s="233"/>
      <c r="P116" s="233"/>
      <c r="Q116" s="244"/>
    </row>
    <row r="117" spans="2:17" ht="93.75" customHeight="1">
      <c r="B117" s="255">
        <v>3</v>
      </c>
      <c r="C117" s="256">
        <v>1</v>
      </c>
      <c r="D117" s="257" t="s">
        <v>45</v>
      </c>
      <c r="E117" s="257" t="s">
        <v>691</v>
      </c>
      <c r="F117" s="245" t="s">
        <v>132</v>
      </c>
      <c r="G117" s="246" t="s">
        <v>693</v>
      </c>
      <c r="H117" s="393" t="s">
        <v>697</v>
      </c>
      <c r="I117" s="244" t="s">
        <v>698</v>
      </c>
      <c r="J117" s="244" t="s">
        <v>699</v>
      </c>
      <c r="K117" s="233" t="s">
        <v>344</v>
      </c>
      <c r="L117" s="244" t="s">
        <v>700</v>
      </c>
      <c r="M117" s="286">
        <v>1</v>
      </c>
      <c r="N117" s="233" t="s">
        <v>344</v>
      </c>
      <c r="O117" s="233" t="s">
        <v>381</v>
      </c>
      <c r="P117" s="288">
        <f>(16/24*100)</f>
        <v>66.666666666666657</v>
      </c>
      <c r="Q117" s="244"/>
    </row>
  </sheetData>
  <mergeCells count="14">
    <mergeCell ref="Q6:Q7"/>
    <mergeCell ref="B8:F8"/>
    <mergeCell ref="B2:P2"/>
    <mergeCell ref="B3:P3"/>
    <mergeCell ref="B4:P4"/>
    <mergeCell ref="B5:P5"/>
    <mergeCell ref="B6:F7"/>
    <mergeCell ref="G6:G7"/>
    <mergeCell ref="H6:H7"/>
    <mergeCell ref="I6:I7"/>
    <mergeCell ref="J6:J7"/>
    <mergeCell ref="K6:M6"/>
    <mergeCell ref="N6:N7"/>
    <mergeCell ref="O6:P6"/>
  </mergeCells>
  <pageMargins left="0.19685039370078741" right="0.15748031496062992" top="0.23622047244094491" bottom="0.23622047244094491" header="0.15748031496062992" footer="0.15748031496062992"/>
  <pageSetup paperSize="9" scale="60" fitToHeight="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TABEL 2.1 RENJA PERUBAHAN 2014</vt:lpstr>
      <vt:lpstr>rekapitulasi</vt:lpstr>
      <vt:lpstr>rekapitulasi!Print_Area</vt:lpstr>
      <vt:lpstr>'TABEL 2.1 RENJA PERUBAHAN 2014'!Print_Area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cp:lastPrinted>2017-01-11T05:20:50Z</cp:lastPrinted>
  <dcterms:created xsi:type="dcterms:W3CDTF">2014-10-14T02:27:25Z</dcterms:created>
  <dcterms:modified xsi:type="dcterms:W3CDTF">2017-05-29T06:12:15Z</dcterms:modified>
</cp:coreProperties>
</file>