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\"/>
    </mc:Choice>
  </mc:AlternateContent>
  <xr:revisionPtr revIDLastSave="0" documentId="8_{E6FB1D17-6D77-4CBC-B31D-A6D0B370BDC9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des3" sheetId="53" r:id="rId1"/>
    <sheet name="des2" sheetId="49" r:id="rId2"/>
    <sheet name="des (2)" sheetId="54" r:id="rId3"/>
  </sheets>
  <definedNames>
    <definedName name="_xlnm.Print_Area" localSheetId="2">'des (2)'!$A$1:$X$97</definedName>
    <definedName name="_xlnm.Print_Area" localSheetId="1">'des2'!$A$1:$Q$96</definedName>
    <definedName name="_xlnm.Print_Area" localSheetId="0">'des3'!$A$1:$K$96</definedName>
    <definedName name="_xlnm.Print_Titles" localSheetId="2">'des (2)'!$6:$9</definedName>
    <definedName name="_xlnm.Print_Titles" localSheetId="1">'des2'!$5:$8</definedName>
    <definedName name="_xlnm.Print_Titles" localSheetId="0">'des3'!$5:$8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0" i="54" l="1"/>
  <c r="S90" i="54" s="1"/>
  <c r="R89" i="54"/>
  <c r="S89" i="54" s="1"/>
  <c r="R88" i="54"/>
  <c r="Q88" i="54"/>
  <c r="P88" i="54"/>
  <c r="P83" i="54" s="1"/>
  <c r="O88" i="54"/>
  <c r="O83" i="54" s="1"/>
  <c r="N88" i="54"/>
  <c r="L88" i="54"/>
  <c r="L83" i="54" s="1"/>
  <c r="K88" i="54"/>
  <c r="K83" i="54" s="1"/>
  <c r="U87" i="54"/>
  <c r="S87" i="54"/>
  <c r="T87" i="54" s="1"/>
  <c r="M86" i="54"/>
  <c r="S86" i="54" s="1"/>
  <c r="R85" i="54"/>
  <c r="Q85" i="54"/>
  <c r="S85" i="54" s="1"/>
  <c r="R84" i="54"/>
  <c r="S84" i="54" s="1"/>
  <c r="M83" i="54"/>
  <c r="J83" i="54"/>
  <c r="I83" i="54"/>
  <c r="H83" i="54"/>
  <c r="G83" i="54"/>
  <c r="F83" i="54"/>
  <c r="R82" i="54"/>
  <c r="S82" i="54" s="1"/>
  <c r="U82" i="54" s="1"/>
  <c r="P81" i="54"/>
  <c r="S81" i="54" s="1"/>
  <c r="U81" i="54" s="1"/>
  <c r="R80" i="54"/>
  <c r="Q80" i="54"/>
  <c r="Q79" i="54" s="1"/>
  <c r="P80" i="54"/>
  <c r="O79" i="54"/>
  <c r="N79" i="54"/>
  <c r="M79" i="54"/>
  <c r="L79" i="54"/>
  <c r="K79" i="54"/>
  <c r="J79" i="54"/>
  <c r="I79" i="54"/>
  <c r="H79" i="54"/>
  <c r="F79" i="54"/>
  <c r="S78" i="54"/>
  <c r="T78" i="54" s="1"/>
  <c r="R77" i="54"/>
  <c r="S77" i="54" s="1"/>
  <c r="S76" i="54"/>
  <c r="U76" i="54" s="1"/>
  <c r="Q75" i="54"/>
  <c r="P75" i="54"/>
  <c r="O75" i="54"/>
  <c r="N75" i="54"/>
  <c r="M75" i="54"/>
  <c r="L75" i="54"/>
  <c r="K75" i="54"/>
  <c r="J75" i="54"/>
  <c r="I75" i="54"/>
  <c r="G75" i="54"/>
  <c r="F75" i="54"/>
  <c r="R74" i="54"/>
  <c r="S74" i="54" s="1"/>
  <c r="S73" i="54"/>
  <c r="N72" i="54"/>
  <c r="S72" i="54" s="1"/>
  <c r="T72" i="54" s="1"/>
  <c r="O71" i="54"/>
  <c r="L71" i="54"/>
  <c r="R70" i="54"/>
  <c r="P70" i="54"/>
  <c r="O70" i="54"/>
  <c r="N70" i="54"/>
  <c r="K70" i="54"/>
  <c r="J70" i="54"/>
  <c r="J65" i="54" s="1"/>
  <c r="R69" i="54"/>
  <c r="K69" i="54"/>
  <c r="S69" i="54" s="1"/>
  <c r="U69" i="54" s="1"/>
  <c r="P68" i="54"/>
  <c r="S68" i="54" s="1"/>
  <c r="U68" i="54" s="1"/>
  <c r="R67" i="54"/>
  <c r="S67" i="54" s="1"/>
  <c r="R66" i="54"/>
  <c r="L66" i="54"/>
  <c r="K66" i="54"/>
  <c r="Q65" i="54"/>
  <c r="O65" i="54"/>
  <c r="M65" i="54"/>
  <c r="I65" i="54"/>
  <c r="H65" i="54"/>
  <c r="G65" i="54"/>
  <c r="G61" i="54" s="1"/>
  <c r="F65" i="54"/>
  <c r="P64" i="54"/>
  <c r="P61" i="54" s="1"/>
  <c r="L64" i="54"/>
  <c r="L61" i="54" s="1"/>
  <c r="S63" i="54"/>
  <c r="U63" i="54" s="1"/>
  <c r="S62" i="54"/>
  <c r="R61" i="54"/>
  <c r="Q61" i="54"/>
  <c r="O61" i="54"/>
  <c r="N61" i="54"/>
  <c r="M61" i="54"/>
  <c r="K61" i="54"/>
  <c r="J61" i="54"/>
  <c r="I61" i="54"/>
  <c r="H61" i="54"/>
  <c r="F61" i="54"/>
  <c r="S60" i="54"/>
  <c r="T60" i="54" s="1"/>
  <c r="S59" i="54"/>
  <c r="S58" i="54" s="1"/>
  <c r="R58" i="54"/>
  <c r="Q58" i="54"/>
  <c r="O58" i="54"/>
  <c r="N58" i="54"/>
  <c r="M58" i="54"/>
  <c r="L58" i="54"/>
  <c r="K58" i="54"/>
  <c r="I58" i="54"/>
  <c r="H58" i="54"/>
  <c r="G58" i="54"/>
  <c r="F58" i="54"/>
  <c r="P57" i="54"/>
  <c r="S57" i="54" s="1"/>
  <c r="T57" i="54" s="1"/>
  <c r="S56" i="54"/>
  <c r="T56" i="54" s="1"/>
  <c r="R55" i="54"/>
  <c r="Q55" i="54"/>
  <c r="P55" i="54"/>
  <c r="M55" i="54"/>
  <c r="K55" i="54"/>
  <c r="J55" i="54"/>
  <c r="H55" i="54"/>
  <c r="S54" i="54"/>
  <c r="R54" i="54"/>
  <c r="R53" i="54"/>
  <c r="S53" i="54" s="1"/>
  <c r="T53" i="54" s="1"/>
  <c r="R52" i="54"/>
  <c r="P52" i="54"/>
  <c r="N52" i="54"/>
  <c r="M52" i="54"/>
  <c r="K52" i="54"/>
  <c r="J52" i="54"/>
  <c r="H52" i="54"/>
  <c r="R51" i="54"/>
  <c r="S51" i="54" s="1"/>
  <c r="U51" i="54" s="1"/>
  <c r="R50" i="54"/>
  <c r="Q50" i="54"/>
  <c r="P50" i="54"/>
  <c r="O50" i="54"/>
  <c r="O49" i="54" s="1"/>
  <c r="N50" i="54"/>
  <c r="M50" i="54"/>
  <c r="L50" i="54"/>
  <c r="L49" i="54" s="1"/>
  <c r="K50" i="54"/>
  <c r="J50" i="54"/>
  <c r="H50" i="54"/>
  <c r="I49" i="54"/>
  <c r="G49" i="54"/>
  <c r="F49" i="54"/>
  <c r="S47" i="54"/>
  <c r="T47" i="54" s="1"/>
  <c r="S46" i="54"/>
  <c r="U46" i="54" s="1"/>
  <c r="S45" i="54"/>
  <c r="S44" i="54"/>
  <c r="T44" i="54" s="1"/>
  <c r="S43" i="54"/>
  <c r="T43" i="54" s="1"/>
  <c r="S42" i="54"/>
  <c r="U42" i="54" s="1"/>
  <c r="G41" i="54"/>
  <c r="F41" i="54"/>
  <c r="S40" i="54"/>
  <c r="U40" i="54" s="1"/>
  <c r="S39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S37" i="54"/>
  <c r="T37" i="54" s="1"/>
  <c r="S36" i="54"/>
  <c r="U36" i="54" s="1"/>
  <c r="S35" i="54"/>
  <c r="U35" i="54" s="1"/>
  <c r="S34" i="54"/>
  <c r="S33" i="54"/>
  <c r="T33" i="54" s="1"/>
  <c r="S32" i="54"/>
  <c r="U32" i="54" s="1"/>
  <c r="S31" i="54"/>
  <c r="U31" i="54" s="1"/>
  <c r="S30" i="54"/>
  <c r="S29" i="54"/>
  <c r="T29" i="54" s="1"/>
  <c r="R28" i="54"/>
  <c r="Q28" i="54"/>
  <c r="P28" i="54"/>
  <c r="O28" i="54"/>
  <c r="O27" i="54" s="1"/>
  <c r="O26" i="54" s="1"/>
  <c r="N28" i="54"/>
  <c r="M28" i="54"/>
  <c r="L28" i="54"/>
  <c r="K28" i="54"/>
  <c r="J28" i="54"/>
  <c r="I28" i="54"/>
  <c r="H28" i="54"/>
  <c r="G28" i="54"/>
  <c r="F28" i="54"/>
  <c r="S24" i="54"/>
  <c r="U24" i="54" s="1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S22" i="54"/>
  <c r="U22" i="54" s="1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S20" i="54"/>
  <c r="N19" i="54"/>
  <c r="M19" i="54"/>
  <c r="L19" i="54"/>
  <c r="K19" i="54"/>
  <c r="J19" i="54"/>
  <c r="I19" i="54"/>
  <c r="H19" i="54"/>
  <c r="G19" i="54"/>
  <c r="F19" i="54"/>
  <c r="S18" i="54"/>
  <c r="T18" i="54" s="1"/>
  <c r="R17" i="54"/>
  <c r="Q17" i="54"/>
  <c r="P17" i="54"/>
  <c r="O17" i="54"/>
  <c r="N17" i="54"/>
  <c r="M17" i="54"/>
  <c r="L17" i="54"/>
  <c r="K17" i="54"/>
  <c r="I17" i="54"/>
  <c r="H17" i="54"/>
  <c r="G17" i="54"/>
  <c r="F17" i="54"/>
  <c r="S16" i="54"/>
  <c r="U16" i="54" s="1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S14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O89" i="49"/>
  <c r="O88" i="49"/>
  <c r="O87" i="49"/>
  <c r="O86" i="49"/>
  <c r="O85" i="49"/>
  <c r="O84" i="49"/>
  <c r="O83" i="49"/>
  <c r="O81" i="49"/>
  <c r="O80" i="49"/>
  <c r="O79" i="49"/>
  <c r="O77" i="49"/>
  <c r="O76" i="49"/>
  <c r="O75" i="49"/>
  <c r="O73" i="49"/>
  <c r="O72" i="49"/>
  <c r="O71" i="49"/>
  <c r="O70" i="49"/>
  <c r="O69" i="49"/>
  <c r="O68" i="49"/>
  <c r="O67" i="49"/>
  <c r="O66" i="49"/>
  <c r="O65" i="49"/>
  <c r="O63" i="49"/>
  <c r="O62" i="49"/>
  <c r="O61" i="49"/>
  <c r="O59" i="49"/>
  <c r="O58" i="49"/>
  <c r="O56" i="49"/>
  <c r="O55" i="49"/>
  <c r="O54" i="49"/>
  <c r="O53" i="49"/>
  <c r="O52" i="49"/>
  <c r="O51" i="49"/>
  <c r="O50" i="49"/>
  <c r="O49" i="49"/>
  <c r="O46" i="49"/>
  <c r="O45" i="49"/>
  <c r="O44" i="49"/>
  <c r="O43" i="49"/>
  <c r="O42" i="49"/>
  <c r="O41" i="49"/>
  <c r="O39" i="49"/>
  <c r="O38" i="49"/>
  <c r="O36" i="49"/>
  <c r="O35" i="49"/>
  <c r="O34" i="49"/>
  <c r="O33" i="49"/>
  <c r="O32" i="49"/>
  <c r="O31" i="49"/>
  <c r="O30" i="49"/>
  <c r="O29" i="49"/>
  <c r="O28" i="49"/>
  <c r="O23" i="49"/>
  <c r="O21" i="49"/>
  <c r="O19" i="49"/>
  <c r="O17" i="49"/>
  <c r="O15" i="49"/>
  <c r="O13" i="49"/>
  <c r="H27" i="54" l="1"/>
  <c r="H26" i="54" s="1"/>
  <c r="U43" i="54"/>
  <c r="J12" i="54"/>
  <c r="J11" i="54" s="1"/>
  <c r="J10" i="54" s="1"/>
  <c r="L65" i="54"/>
  <c r="L27" i="54"/>
  <c r="L26" i="54" s="1"/>
  <c r="U37" i="54"/>
  <c r="K27" i="54"/>
  <c r="K26" i="54" s="1"/>
  <c r="M49" i="54"/>
  <c r="M48" i="54" s="1"/>
  <c r="P27" i="54"/>
  <c r="P26" i="54" s="1"/>
  <c r="N49" i="54"/>
  <c r="S55" i="54"/>
  <c r="U55" i="54" s="1"/>
  <c r="Q49" i="54"/>
  <c r="I12" i="54"/>
  <c r="I11" i="54" s="1"/>
  <c r="I10" i="54" s="1"/>
  <c r="Q12" i="54"/>
  <c r="Q11" i="54" s="1"/>
  <c r="Q10" i="54" s="1"/>
  <c r="U47" i="54"/>
  <c r="M27" i="54"/>
  <c r="M26" i="54" s="1"/>
  <c r="M25" i="54" s="1"/>
  <c r="U58" i="54"/>
  <c r="T36" i="54"/>
  <c r="T59" i="54"/>
  <c r="N65" i="54"/>
  <c r="S17" i="54"/>
  <c r="U17" i="54" s="1"/>
  <c r="I27" i="54"/>
  <c r="I26" i="54" s="1"/>
  <c r="Q27" i="54"/>
  <c r="Q26" i="54" s="1"/>
  <c r="L48" i="54"/>
  <c r="L25" i="54" s="1"/>
  <c r="P49" i="54"/>
  <c r="R75" i="54"/>
  <c r="Q83" i="54"/>
  <c r="Q48" i="54" s="1"/>
  <c r="O48" i="54"/>
  <c r="F12" i="54"/>
  <c r="N12" i="54"/>
  <c r="N11" i="54" s="1"/>
  <c r="N10" i="54" s="1"/>
  <c r="R12" i="54"/>
  <c r="R11" i="54" s="1"/>
  <c r="R10" i="54" s="1"/>
  <c r="U44" i="54"/>
  <c r="I48" i="54"/>
  <c r="U60" i="54"/>
  <c r="P65" i="54"/>
  <c r="R79" i="54"/>
  <c r="T17" i="54"/>
  <c r="U33" i="54"/>
  <c r="U84" i="54"/>
  <c r="T84" i="54"/>
  <c r="U67" i="54"/>
  <c r="T67" i="54"/>
  <c r="U77" i="54"/>
  <c r="T77" i="54"/>
  <c r="S75" i="54"/>
  <c r="T16" i="54"/>
  <c r="J27" i="54"/>
  <c r="J26" i="54" s="1"/>
  <c r="N27" i="54"/>
  <c r="N26" i="54" s="1"/>
  <c r="R27" i="54"/>
  <c r="R26" i="54" s="1"/>
  <c r="G27" i="54"/>
  <c r="O25" i="54"/>
  <c r="R49" i="54"/>
  <c r="G48" i="54"/>
  <c r="T75" i="54"/>
  <c r="L12" i="54"/>
  <c r="L11" i="54" s="1"/>
  <c r="L10" i="54" s="1"/>
  <c r="S23" i="54"/>
  <c r="U29" i="54"/>
  <c r="T32" i="54"/>
  <c r="U56" i="54"/>
  <c r="U59" i="54"/>
  <c r="K65" i="54"/>
  <c r="R65" i="54"/>
  <c r="R48" i="54" s="1"/>
  <c r="R25" i="54" s="1"/>
  <c r="U78" i="54"/>
  <c r="R83" i="54"/>
  <c r="P12" i="54"/>
  <c r="P11" i="54" s="1"/>
  <c r="P10" i="54" s="1"/>
  <c r="T24" i="54"/>
  <c r="T42" i="54"/>
  <c r="T46" i="54"/>
  <c r="S71" i="54"/>
  <c r="T76" i="54"/>
  <c r="H12" i="54"/>
  <c r="H11" i="54" s="1"/>
  <c r="H10" i="54" s="1"/>
  <c r="U18" i="54"/>
  <c r="M12" i="54"/>
  <c r="M11" i="54" s="1"/>
  <c r="M10" i="54" s="1"/>
  <c r="S21" i="54"/>
  <c r="U21" i="54" s="1"/>
  <c r="F11" i="54"/>
  <c r="U23" i="54"/>
  <c r="T23" i="54"/>
  <c r="U74" i="54"/>
  <c r="T74" i="54"/>
  <c r="U14" i="54"/>
  <c r="T14" i="54"/>
  <c r="S80" i="54"/>
  <c r="P79" i="54"/>
  <c r="T31" i="54"/>
  <c r="T35" i="54"/>
  <c r="U39" i="54"/>
  <c r="T39" i="54"/>
  <c r="S38" i="54"/>
  <c r="U38" i="54" s="1"/>
  <c r="G26" i="54"/>
  <c r="K49" i="54"/>
  <c r="S50" i="54"/>
  <c r="T51" i="54"/>
  <c r="U57" i="54"/>
  <c r="S64" i="54"/>
  <c r="T68" i="54"/>
  <c r="S70" i="54"/>
  <c r="T81" i="54"/>
  <c r="T85" i="54"/>
  <c r="U85" i="54"/>
  <c r="N83" i="54"/>
  <c r="N48" i="54" s="1"/>
  <c r="N25" i="54" s="1"/>
  <c r="S88" i="54"/>
  <c r="G12" i="54"/>
  <c r="K12" i="54"/>
  <c r="K11" i="54" s="1"/>
  <c r="K10" i="54" s="1"/>
  <c r="O12" i="54"/>
  <c r="O11" i="54" s="1"/>
  <c r="O10" i="54" s="1"/>
  <c r="S15" i="54"/>
  <c r="U15" i="54" s="1"/>
  <c r="S19" i="54"/>
  <c r="U19" i="54" s="1"/>
  <c r="S41" i="54"/>
  <c r="U41" i="54" s="1"/>
  <c r="U45" i="54"/>
  <c r="T45" i="54"/>
  <c r="H49" i="54"/>
  <c r="H48" i="54" s="1"/>
  <c r="H25" i="54" s="1"/>
  <c r="S52" i="54"/>
  <c r="F48" i="54"/>
  <c r="T58" i="54"/>
  <c r="T63" i="54"/>
  <c r="T69" i="54"/>
  <c r="U72" i="54"/>
  <c r="U75" i="54"/>
  <c r="U89" i="54"/>
  <c r="T89" i="54"/>
  <c r="U54" i="54"/>
  <c r="T54" i="54"/>
  <c r="U62" i="54"/>
  <c r="T62" i="54"/>
  <c r="S61" i="54"/>
  <c r="U61" i="54" s="1"/>
  <c r="T15" i="54"/>
  <c r="S13" i="54"/>
  <c r="U13" i="54" s="1"/>
  <c r="U20" i="54"/>
  <c r="T20" i="54"/>
  <c r="T22" i="54"/>
  <c r="U30" i="54"/>
  <c r="T30" i="54"/>
  <c r="U34" i="54"/>
  <c r="T34" i="54"/>
  <c r="T38" i="54"/>
  <c r="F27" i="54"/>
  <c r="T40" i="54"/>
  <c r="J49" i="54"/>
  <c r="J48" i="54" s="1"/>
  <c r="S66" i="54"/>
  <c r="U73" i="54"/>
  <c r="T73" i="54"/>
  <c r="T82" i="54"/>
  <c r="U86" i="54"/>
  <c r="T86" i="54"/>
  <c r="U90" i="54"/>
  <c r="T90" i="54"/>
  <c r="S28" i="54"/>
  <c r="S27" i="54" l="1"/>
  <c r="P48" i="54"/>
  <c r="P25" i="54" s="1"/>
  <c r="J25" i="54"/>
  <c r="T55" i="54"/>
  <c r="Q25" i="54"/>
  <c r="I25" i="54"/>
  <c r="T13" i="54"/>
  <c r="S83" i="54"/>
  <c r="U83" i="54" s="1"/>
  <c r="K48" i="54"/>
  <c r="K25" i="54" s="1"/>
  <c r="T21" i="54"/>
  <c r="T71" i="54"/>
  <c r="U71" i="54"/>
  <c r="T41" i="54"/>
  <c r="T28" i="54"/>
  <c r="U28" i="54"/>
  <c r="T19" i="54"/>
  <c r="U70" i="54"/>
  <c r="T70" i="54"/>
  <c r="S26" i="54"/>
  <c r="G25" i="54"/>
  <c r="F10" i="54"/>
  <c r="F26" i="54"/>
  <c r="T27" i="54"/>
  <c r="U88" i="54"/>
  <c r="T88" i="54"/>
  <c r="T83" i="54" s="1"/>
  <c r="U27" i="54"/>
  <c r="U80" i="54"/>
  <c r="T80" i="54"/>
  <c r="S79" i="54"/>
  <c r="U66" i="54"/>
  <c r="T66" i="54"/>
  <c r="S65" i="54"/>
  <c r="S12" i="54"/>
  <c r="G11" i="54"/>
  <c r="T52" i="54"/>
  <c r="U52" i="54"/>
  <c r="U64" i="54"/>
  <c r="T64" i="54"/>
  <c r="S49" i="54"/>
  <c r="U50" i="54"/>
  <c r="T50" i="54"/>
  <c r="T61" i="54"/>
  <c r="S25" i="54" l="1"/>
  <c r="S48" i="54"/>
  <c r="U49" i="54"/>
  <c r="T49" i="54"/>
  <c r="S11" i="54"/>
  <c r="G10" i="54"/>
  <c r="S10" i="54" s="1"/>
  <c r="U10" i="54" s="1"/>
  <c r="U12" i="54"/>
  <c r="T12" i="54"/>
  <c r="U79" i="54"/>
  <c r="T79" i="54"/>
  <c r="F25" i="54"/>
  <c r="T26" i="54"/>
  <c r="U26" i="54"/>
  <c r="U65" i="54"/>
  <c r="T65" i="54"/>
  <c r="T10" i="54"/>
  <c r="T25" i="54" l="1"/>
  <c r="U25" i="54"/>
  <c r="U11" i="54"/>
  <c r="T11" i="54"/>
  <c r="U48" i="54"/>
  <c r="T48" i="54"/>
  <c r="F64" i="53" l="1"/>
  <c r="F74" i="53"/>
  <c r="F78" i="53"/>
  <c r="F82" i="53"/>
  <c r="F60" i="53" l="1"/>
  <c r="F57" i="53"/>
  <c r="F48" i="53"/>
  <c r="F40" i="53"/>
  <c r="F37" i="53"/>
  <c r="F27" i="53"/>
  <c r="F22" i="53"/>
  <c r="F20" i="53"/>
  <c r="F18" i="53"/>
  <c r="F16" i="53"/>
  <c r="F14" i="53"/>
  <c r="F12" i="53"/>
  <c r="F26" i="53" l="1"/>
  <c r="F25" i="53" s="1"/>
  <c r="F11" i="53"/>
  <c r="F10" i="53" s="1"/>
  <c r="F9" i="53" s="1"/>
  <c r="F47" i="53"/>
  <c r="F24" i="53" s="1"/>
  <c r="M89" i="49"/>
  <c r="M88" i="49"/>
  <c r="M87" i="49"/>
  <c r="M86" i="49"/>
  <c r="M85" i="49"/>
  <c r="M84" i="49"/>
  <c r="M83" i="49"/>
  <c r="M82" i="49"/>
  <c r="M81" i="49"/>
  <c r="M80" i="49"/>
  <c r="M79" i="49"/>
  <c r="M78" i="49"/>
  <c r="M77" i="49"/>
  <c r="M76" i="49"/>
  <c r="M75" i="49"/>
  <c r="M74" i="49"/>
  <c r="M73" i="49"/>
  <c r="M72" i="49"/>
  <c r="M71" i="49"/>
  <c r="M70" i="49"/>
  <c r="M69" i="49"/>
  <c r="M68" i="49"/>
  <c r="M67" i="49"/>
  <c r="M66" i="49"/>
  <c r="M65" i="49"/>
  <c r="M64" i="49"/>
  <c r="M63" i="49"/>
  <c r="M62" i="49"/>
  <c r="M61" i="49"/>
  <c r="M60" i="49"/>
  <c r="M59" i="49"/>
  <c r="M58" i="49"/>
  <c r="M57" i="49"/>
  <c r="M56" i="49"/>
  <c r="M55" i="49"/>
  <c r="M54" i="49"/>
  <c r="M53" i="49"/>
  <c r="M52" i="49"/>
  <c r="M51" i="49"/>
  <c r="M50" i="49"/>
  <c r="M49" i="49"/>
  <c r="M48" i="49"/>
  <c r="M47" i="49"/>
  <c r="M46" i="49"/>
  <c r="M45" i="49"/>
  <c r="M44" i="49"/>
  <c r="M43" i="49"/>
  <c r="M42" i="49"/>
  <c r="M41" i="49"/>
  <c r="M40" i="49"/>
  <c r="M39" i="49"/>
  <c r="M38" i="49"/>
  <c r="M37" i="49"/>
  <c r="M36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F82" i="49"/>
  <c r="O82" i="49" s="1"/>
  <c r="F78" i="49"/>
  <c r="O78" i="49" s="1"/>
  <c r="F74" i="49"/>
  <c r="O74" i="49" s="1"/>
  <c r="F64" i="49"/>
  <c r="O64" i="49" s="1"/>
  <c r="F60" i="49"/>
  <c r="O60" i="49" s="1"/>
  <c r="F57" i="49"/>
  <c r="O57" i="49" s="1"/>
  <c r="F48" i="49"/>
  <c r="O48" i="49" s="1"/>
  <c r="F40" i="49"/>
  <c r="O40" i="49" s="1"/>
  <c r="F37" i="49"/>
  <c r="O37" i="49" s="1"/>
  <c r="F27" i="49"/>
  <c r="O27" i="49" s="1"/>
  <c r="F26" i="49"/>
  <c r="F22" i="49"/>
  <c r="O22" i="49" s="1"/>
  <c r="F20" i="49"/>
  <c r="O20" i="49" s="1"/>
  <c r="F18" i="49"/>
  <c r="O18" i="49" s="1"/>
  <c r="F16" i="49"/>
  <c r="O16" i="49" s="1"/>
  <c r="F14" i="49"/>
  <c r="O14" i="49" s="1"/>
  <c r="F12" i="49"/>
  <c r="O12" i="49" s="1"/>
  <c r="F25" i="49" l="1"/>
  <c r="O25" i="49" s="1"/>
  <c r="O26" i="49"/>
  <c r="F47" i="49"/>
  <c r="O47" i="49" s="1"/>
  <c r="F11" i="49"/>
  <c r="F24" i="49"/>
  <c r="O24" i="49" s="1"/>
  <c r="F10" i="49" l="1"/>
  <c r="O11" i="49"/>
  <c r="N89" i="49"/>
  <c r="N88" i="49"/>
  <c r="N87" i="49"/>
  <c r="N86" i="49"/>
  <c r="N85" i="49"/>
  <c r="N84" i="49"/>
  <c r="N83" i="49"/>
  <c r="N82" i="49"/>
  <c r="N81" i="49"/>
  <c r="N80" i="49"/>
  <c r="N79" i="49"/>
  <c r="N78" i="49"/>
  <c r="N77" i="49"/>
  <c r="N76" i="49"/>
  <c r="N75" i="49"/>
  <c r="N74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F9" i="49" l="1"/>
  <c r="O9" i="49" s="1"/>
  <c r="O10" i="49"/>
</calcChain>
</file>

<file path=xl/sharedStrings.xml><?xml version="1.0" encoding="utf-8"?>
<sst xmlns="http://schemas.openxmlformats.org/spreadsheetml/2006/main" count="626" uniqueCount="162">
  <si>
    <t>NO</t>
  </si>
  <si>
    <t>Urusan Program dan Kegiatan</t>
  </si>
  <si>
    <t xml:space="preserve">LAPORAN PELAKSANAAN RENCANA PROGRAM DAN KEGIATAN PEMBANGUNAN DAERAH </t>
  </si>
  <si>
    <t>I</t>
  </si>
  <si>
    <t>Sisa Anggaran</t>
  </si>
  <si>
    <t xml:space="preserve">Alokasi Anggaran </t>
  </si>
  <si>
    <t>Jumlah</t>
  </si>
  <si>
    <t>Fisik (%)</t>
  </si>
  <si>
    <t>Keuangan (Rp)</t>
  </si>
  <si>
    <t>KOTA SERANG</t>
  </si>
  <si>
    <t>PENDAPATAN</t>
  </si>
  <si>
    <t>Januari</t>
  </si>
  <si>
    <t>Retribusi Pelayanan Parkir di tepi jalan umum</t>
  </si>
  <si>
    <t>Retribusi Terminal</t>
  </si>
  <si>
    <t>Retribusi Izin Trayek</t>
  </si>
  <si>
    <t xml:space="preserve">SKPD   </t>
  </si>
  <si>
    <t>:</t>
  </si>
  <si>
    <t>II</t>
  </si>
  <si>
    <t>BELANJA TIDAK LANGSUNG</t>
  </si>
  <si>
    <t>Belanja Pegawai</t>
  </si>
  <si>
    <t>Gaji Pokok PNS/ 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</si>
  <si>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</si>
  <si>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</si>
  <si>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</si>
  <si>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</si>
  <si>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</si>
  <si>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>Pembulatan Gaji</t>
  </si>
  <si>
    <t>Tambahan Penghasilan PNS</t>
  </si>
  <si>
    <t>Tambahan Penghasilan Berdasarkan  Beban Kerja</t>
  </si>
  <si>
    <t>BELANJA LANGSUNG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</si>
  <si>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</si>
  <si>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</si>
  <si>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</si>
  <si>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</si>
  <si>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</si>
  <si>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</si>
  <si>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</si>
  <si>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</si>
  <si>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</si>
  <si>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III</t>
  </si>
  <si>
    <t>IV</t>
  </si>
  <si>
    <t>Pemeliharaan Alat-alat Bengkel</t>
  </si>
  <si>
    <t>Tambahan Penghasilan Berdasarkan Kondisi Kerja</t>
  </si>
  <si>
    <t>Jaminan Kecelakaan Kerja dan Jaminan Kematian</t>
  </si>
  <si>
    <t>EVALUASI DAN PELAPORAN</t>
  </si>
  <si>
    <t>FERA FILSAFANI,SE,MM</t>
  </si>
  <si>
    <t>NIP. 19840220 200902 2 005</t>
  </si>
  <si>
    <t>V</t>
  </si>
  <si>
    <t>DISHUB KOTA SERANG</t>
  </si>
  <si>
    <t>VII</t>
  </si>
  <si>
    <t>Pengelolaan Barang Milik Daerah</t>
  </si>
  <si>
    <t>KASUBAG PROGRAM</t>
  </si>
  <si>
    <t>PENDAPATAN ASLI DAERAH (PAD)</t>
  </si>
  <si>
    <t>PENDAPATAN Retribusi Daerah</t>
  </si>
  <si>
    <t>Retribusi Pelayanan Parkir di tepi Jalan Umum</t>
  </si>
  <si>
    <t>Retribusi Pengujian Kendaraan Bermotor</t>
  </si>
  <si>
    <t>Retribusi PKB-Mobil Penumpang-Sedan</t>
  </si>
  <si>
    <t xml:space="preserve">Retribusi Pemakaian Kekayaan Daerah </t>
  </si>
  <si>
    <t>Penyewaan Tanah dan  Bangunan</t>
  </si>
  <si>
    <t>Fasilitas Lainnya di Lingkungan Terminal</t>
  </si>
  <si>
    <r>
      <rPr>
        <b/>
        <sz val="12"/>
        <color indexed="8"/>
        <rFont val="Tahoma"/>
        <family val="2"/>
      </rPr>
      <t>Retribusi Tempat Khusus Parki</t>
    </r>
    <r>
      <rPr>
        <sz val="12"/>
        <color indexed="8"/>
        <rFont val="Tahoma"/>
        <family val="2"/>
      </rPr>
      <t>r</t>
    </r>
  </si>
  <si>
    <t>Pelayanan Tempat Khusus Parkir</t>
  </si>
  <si>
    <t>Pemberian Izin Trayek Kepada Orang Pribadi</t>
  </si>
  <si>
    <t>Belanja Gaji dan Tunjangan</t>
  </si>
  <si>
    <t>Iuran Jaminan Kesehatan</t>
  </si>
  <si>
    <t>Insentif Pemungutan Pajak Daerah</t>
  </si>
  <si>
    <t>VI</t>
  </si>
  <si>
    <t xml:space="preserve">BELANJA </t>
  </si>
  <si>
    <t>A</t>
  </si>
  <si>
    <t>B</t>
  </si>
  <si>
    <t>C</t>
  </si>
  <si>
    <t>KOTA SERANG TAHUN ANGGARAN 2019</t>
  </si>
  <si>
    <t>Program Pelayanan dan Peningkatan Kapasitas Aparatur</t>
  </si>
  <si>
    <t>Pengadaan Sarana dan Prasarana Kantor</t>
  </si>
  <si>
    <t>Pelayanan Administrasi Perkantoran</t>
  </si>
  <si>
    <t>Pemeliharaan Sarana dan Prasarana Kantor</t>
  </si>
  <si>
    <t>Rehabilitasi gedung kantor/rumah dinas/rumah jabatan</t>
  </si>
  <si>
    <t>Penyediaan Dokumentasi, Informatika dan Komunikasi OPD</t>
  </si>
  <si>
    <t>Penyediaan Makanan dan Minuman</t>
  </si>
  <si>
    <t>Rapat-Rapat Kordinasi dan Konsultasi Dalam dan Luar Daerah</t>
  </si>
  <si>
    <t>Program Pengelolaan dan Pelaporan Keuangan</t>
  </si>
  <si>
    <t>Penyusunan Pelaporan Keuangan Triwulanan dan Semesteran</t>
  </si>
  <si>
    <t>Penyusunan Pelaporan Keuangan Akhir Tahun</t>
  </si>
  <si>
    <t>Program Peningkatan Perencanaan, Pengendalian dan Pelaporan Capaian Kinerja</t>
  </si>
  <si>
    <t>Penyusunan Dokumen Perencanaan Perangkat Daerah</t>
  </si>
  <si>
    <t>Penyusunan Rencana Kerja dan Anggaran Perangkat Daerah</t>
  </si>
  <si>
    <t>Penyusunan Pelaporan Capaian Kinerja Tahunan Perangkat Daerah</t>
  </si>
  <si>
    <t>Program Pengendalian Operasional dan Rekayasa Lalu Lintas Angkutan Jalan (LLAJ)</t>
  </si>
  <si>
    <t>Pembinaan Keselamatan perlintasan kereta Api</t>
  </si>
  <si>
    <t>Pengadaan Marka Jalan  MANREK</t>
  </si>
  <si>
    <t xml:space="preserve">Penyusunan kebijakan norma standar dan prosedur bidang </t>
  </si>
  <si>
    <t xml:space="preserve">Manajemen dan Rekayasa Lalu Lintas dan Angkutan </t>
  </si>
  <si>
    <t>Pengendalian disiplin pengoperasian angkutan umum di jalan raya</t>
  </si>
  <si>
    <t xml:space="preserve">Pelaksanaan pengaturan lalu lintas </t>
  </si>
  <si>
    <t xml:space="preserve">Pemeliharaan fasilitas LLAJ </t>
  </si>
  <si>
    <t xml:space="preserve">Koordinasi dalam peningkatan pelayanan angkutan </t>
  </si>
  <si>
    <t>pengadaan rambu-rambu lalu lintas MANREK</t>
  </si>
  <si>
    <t>Program Angkutan Darat</t>
  </si>
  <si>
    <t xml:space="preserve">Pemilihan dan Pemberian Penghargaan Sopir/juru mudik/awak kendaraan angkutan umum teladan </t>
  </si>
  <si>
    <t>Pelaksana Analisis dampak lalu lintas</t>
  </si>
  <si>
    <t>Temu wicana pengelola angkutan umum guna meningkatan keselamatan penumpang</t>
  </si>
  <si>
    <t>Program Perhubungan Laut</t>
  </si>
  <si>
    <t>Pengawasan dan pemantauan Kunjungan Kapal serta Patroli Kawasan Perairan</t>
  </si>
  <si>
    <t xml:space="preserve">Sosialisasi kebijakan perhubungan </t>
  </si>
  <si>
    <t xml:space="preserve">pengumpulan dan analisis data base pelayanan angkutan </t>
  </si>
  <si>
    <t>Program Teknis Sarana dan Prasarana</t>
  </si>
  <si>
    <t xml:space="preserve">KEPALA DINAS PERHUBUNGAN </t>
  </si>
  <si>
    <t>Kegiatan penciptaan disiplin dan pemeliharaan kebersihan di lingkungan terminal</t>
  </si>
  <si>
    <t xml:space="preserve">Pembinaan dan Penertiban Pengguna Parkir </t>
  </si>
  <si>
    <t xml:space="preserve">Penyediaan bahan/Material penunjang PKB </t>
  </si>
  <si>
    <t xml:space="preserve">Pemeliharaan PJU </t>
  </si>
  <si>
    <t>Pembangunan Gedung Teminal</t>
  </si>
  <si>
    <t>Insentif Pemungutan Retribusi Daerah-Pelayanan Parkir di Tepi Jalan Umum</t>
  </si>
  <si>
    <t>Insentif Pemungutan Retribusi Daerah-Pengujian Kendaraan Bermotor</t>
  </si>
  <si>
    <t>Insentif Pemungutan Retribusi Daerah-Pemakaian Kekayaan Daerah</t>
  </si>
  <si>
    <t>Insentif Pemungutan Retribusi Daerah-Terminal</t>
  </si>
  <si>
    <t>Insentif Pemungutan Retribusi Daerah-Tempat Khusus Parkir</t>
  </si>
  <si>
    <t>Insentif Pemungutan Retribusi Daerah-Izin Trayek</t>
  </si>
  <si>
    <t>Februari</t>
  </si>
  <si>
    <t>Maret</t>
  </si>
  <si>
    <t>April</t>
  </si>
  <si>
    <t xml:space="preserve">Mei </t>
  </si>
  <si>
    <t>Pemeliharaan PJU (BANPROV)</t>
  </si>
  <si>
    <t>Juni</t>
  </si>
  <si>
    <t>H. MAMAN LUTHFI</t>
  </si>
  <si>
    <t>NIP. 19620727 198302 1 002</t>
  </si>
  <si>
    <t>Juli</t>
  </si>
  <si>
    <t>URAIAN</t>
  </si>
  <si>
    <t xml:space="preserve">LAPORAN REKAPITULASI KEMAJUAN KEGIATAN ORGANISASI PERANGKAT DAERAH </t>
  </si>
  <si>
    <t>APBD KOTA SERANG TAHUN ANGGARAN 2019</t>
  </si>
  <si>
    <t xml:space="preserve">PAGU ANGGARAN </t>
  </si>
  <si>
    <t xml:space="preserve">SUMBER DANA </t>
  </si>
  <si>
    <t xml:space="preserve">APBD </t>
  </si>
  <si>
    <t>BANPROV</t>
  </si>
  <si>
    <t xml:space="preserve">KONDISI S/D BULAN INI (%) </t>
  </si>
  <si>
    <t xml:space="preserve">TARGET </t>
  </si>
  <si>
    <t xml:space="preserve">FISIK (%) </t>
  </si>
  <si>
    <t xml:space="preserve">REALISASI </t>
  </si>
  <si>
    <t xml:space="preserve">KEUANGAN (%) </t>
  </si>
  <si>
    <t>SELISIH %</t>
  </si>
  <si>
    <t xml:space="preserve">SISA ANGGARAN </t>
  </si>
  <si>
    <t>9=7:3x100</t>
  </si>
  <si>
    <t>10=KEU (9-6)</t>
  </si>
  <si>
    <t xml:space="preserve">KENDALA </t>
  </si>
  <si>
    <t xml:space="preserve">KET </t>
  </si>
  <si>
    <t xml:space="preserve">Rp. </t>
  </si>
  <si>
    <t>11=FIS (8-5)</t>
  </si>
  <si>
    <t>12 (3-7)</t>
  </si>
  <si>
    <t>Agustus</t>
  </si>
  <si>
    <t>September</t>
  </si>
  <si>
    <t>Oktober</t>
  </si>
  <si>
    <t>Realisasi Kegiatan Triwulan IV</t>
  </si>
  <si>
    <t>TRIWULAN IV</t>
  </si>
  <si>
    <t>PROGRES FISI (%)</t>
  </si>
  <si>
    <t>URAIAN HASIL/OUTCOME</t>
  </si>
  <si>
    <t>KENDALA/UPAYA PENYELESAIAN</t>
  </si>
  <si>
    <t>PROGRES SAAT INI</t>
  </si>
  <si>
    <r>
      <rPr>
        <b/>
        <sz val="20"/>
        <color indexed="8"/>
        <rFont val="Tahoma"/>
        <family val="2"/>
      </rPr>
      <t>Retribusi Tempat Khusus Parki</t>
    </r>
    <r>
      <rPr>
        <sz val="20"/>
        <color indexed="8"/>
        <rFont val="Tahoma"/>
        <family val="2"/>
      </rPr>
      <t>r</t>
    </r>
  </si>
  <si>
    <t>November</t>
  </si>
  <si>
    <t>Desember</t>
  </si>
  <si>
    <t>Serang,  Januari 2020</t>
  </si>
  <si>
    <t>SERANG,   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</si>
</sst>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_(* #,##0_);_(* \(#,##0\);_(* &quot;-&quot;??_);_(@_)"/>
    <numFmt numFmtId="168" formatCode="_(* #,##0.00_);_(* \(#,##0.00\);_(* &quot;-&quot;_);_(@_)"/>
  </numFmts>
  <fonts count="56" x14ac:knownFonts="1">
    <font>
      <sz val="10"/>
      <name val="Arial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u/>
      <sz val="1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u/>
      <sz val="12"/>
      <name val="Tahoma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indexed="8"/>
      <name val="Kalinga"/>
      <family val="2"/>
    </font>
    <font>
      <sz val="10"/>
      <color indexed="8"/>
      <name val="Kalinga"/>
      <family val="2"/>
    </font>
    <font>
      <b/>
      <sz val="20"/>
      <name val="Tahoma"/>
      <family val="2"/>
    </font>
    <font>
      <sz val="20"/>
      <name val="Tahoma"/>
      <family val="2"/>
    </font>
    <font>
      <b/>
      <i/>
      <sz val="20"/>
      <name val="Tahoma"/>
      <family val="2"/>
    </font>
    <font>
      <b/>
      <sz val="20"/>
      <color indexed="8"/>
      <name val="Tahoma"/>
      <family val="2"/>
    </font>
    <font>
      <sz val="20"/>
      <name val="Arial"/>
      <family val="2"/>
    </font>
    <font>
      <sz val="20"/>
      <color indexed="8"/>
      <name val="Tahoma"/>
      <family val="2"/>
    </font>
    <font>
      <sz val="20"/>
      <color indexed="8"/>
      <name val="Kalinga"/>
      <family val="2"/>
    </font>
    <font>
      <b/>
      <u/>
      <sz val="20"/>
      <name val="Tahoma"/>
      <family val="2"/>
    </font>
    <font>
      <u/>
      <sz val="20"/>
      <name val="Tahoma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>
      <alignment vertical="top"/>
    </xf>
    <xf numFmtId="0" fontId="16" fillId="0" borderId="0"/>
    <xf numFmtId="0" fontId="7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5" fontId="41" fillId="0" borderId="0" applyFont="0" applyFill="0" applyBorder="0" applyAlignment="0" applyProtection="0"/>
  </cellStyleXfs>
  <cellXfs count="257">
    <xf numFmtId="0" fontId="0" fillId="0" borderId="0" xfId="0"/>
    <xf numFmtId="0" fontId="22" fillId="0" borderId="0" xfId="0" applyFont="1"/>
    <xf numFmtId="166" fontId="22" fillId="0" borderId="0" xfId="0" applyNumberFormat="1" applyFont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NumberFormat="1" applyFont="1"/>
    <xf numFmtId="2" fontId="27" fillId="24" borderId="10" xfId="0" applyNumberFormat="1" applyFont="1" applyFill="1" applyBorder="1" applyAlignment="1">
      <alignment horizontal="center" vertical="center"/>
    </xf>
    <xf numFmtId="0" fontId="23" fillId="0" borderId="0" xfId="0" applyFont="1" applyFill="1"/>
    <xf numFmtId="167" fontId="29" fillId="24" borderId="10" xfId="29" applyNumberFormat="1" applyFont="1" applyFill="1" applyBorder="1" applyAlignment="1">
      <alignment vertical="center"/>
    </xf>
    <xf numFmtId="164" fontId="31" fillId="24" borderId="10" xfId="0" applyNumberFormat="1" applyFont="1" applyFill="1" applyBorder="1" applyAlignment="1">
      <alignment vertical="center" wrapText="1"/>
    </xf>
    <xf numFmtId="0" fontId="25" fillId="24" borderId="0" xfId="0" applyFont="1" applyFill="1"/>
    <xf numFmtId="0" fontId="23" fillId="24" borderId="0" xfId="0" applyFont="1" applyFill="1"/>
    <xf numFmtId="0" fontId="23" fillId="0" borderId="0" xfId="0" applyFont="1" applyAlignment="1">
      <alignment wrapText="1"/>
    </xf>
    <xf numFmtId="164" fontId="27" fillId="24" borderId="10" xfId="28" applyFont="1" applyFill="1" applyBorder="1" applyAlignment="1">
      <alignment vertical="center" wrapText="1" readingOrder="1"/>
    </xf>
    <xf numFmtId="0" fontId="31" fillId="24" borderId="10" xfId="0" applyFont="1" applyFill="1" applyBorder="1" applyAlignment="1">
      <alignment horizontal="center" vertical="center"/>
    </xf>
    <xf numFmtId="166" fontId="22" fillId="24" borderId="0" xfId="0" applyNumberFormat="1" applyFont="1" applyFill="1"/>
    <xf numFmtId="166" fontId="28" fillId="24" borderId="0" xfId="0" applyNumberFormat="1" applyFont="1" applyFill="1"/>
    <xf numFmtId="0" fontId="36" fillId="24" borderId="10" xfId="42" applyFont="1" applyFill="1" applyBorder="1" applyAlignment="1">
      <alignment horizontal="center" vertical="center"/>
    </xf>
    <xf numFmtId="0" fontId="35" fillId="24" borderId="10" xfId="42" applyFont="1" applyFill="1" applyBorder="1" applyAlignment="1">
      <alignment horizontal="center" vertical="center"/>
    </xf>
    <xf numFmtId="166" fontId="31" fillId="24" borderId="0" xfId="0" applyNumberFormat="1" applyFont="1" applyFill="1"/>
    <xf numFmtId="166" fontId="37" fillId="24" borderId="0" xfId="0" applyNumberFormat="1" applyFont="1" applyFill="1"/>
    <xf numFmtId="0" fontId="38" fillId="24" borderId="10" xfId="41" applyFont="1" applyFill="1" applyBorder="1" applyAlignment="1">
      <alignment vertical="center"/>
    </xf>
    <xf numFmtId="166" fontId="39" fillId="24" borderId="10" xfId="41" applyNumberFormat="1" applyFont="1" applyFill="1" applyBorder="1" applyAlignment="1">
      <alignment vertical="center"/>
    </xf>
    <xf numFmtId="0" fontId="32" fillId="24" borderId="10" xfId="42" applyNumberFormat="1" applyFont="1" applyFill="1" applyBorder="1" applyAlignment="1">
      <alignment horizontal="center" vertical="center"/>
    </xf>
    <xf numFmtId="0" fontId="31" fillId="24" borderId="10" xfId="0" applyFont="1" applyFill="1" applyBorder="1"/>
    <xf numFmtId="164" fontId="35" fillId="24" borderId="10" xfId="42" applyNumberFormat="1" applyFont="1" applyFill="1" applyBorder="1" applyAlignment="1">
      <alignment horizontal="center" vertical="center"/>
    </xf>
    <xf numFmtId="0" fontId="35" fillId="24" borderId="10" xfId="42" applyFont="1" applyFill="1" applyBorder="1" applyAlignment="1">
      <alignment horizontal="center" vertical="center" wrapText="1"/>
    </xf>
    <xf numFmtId="0" fontId="28" fillId="24" borderId="0" xfId="0" applyFont="1" applyFill="1"/>
    <xf numFmtId="0" fontId="23" fillId="25" borderId="0" xfId="0" applyFont="1" applyFill="1"/>
    <xf numFmtId="0" fontId="25" fillId="25" borderId="0" xfId="0" applyFont="1" applyFill="1"/>
    <xf numFmtId="0" fontId="23" fillId="26" borderId="0" xfId="0" applyFont="1" applyFill="1"/>
    <xf numFmtId="0" fontId="23" fillId="24" borderId="0" xfId="0" applyFont="1" applyFill="1" applyAlignment="1">
      <alignment vertical="top"/>
    </xf>
    <xf numFmtId="166" fontId="34" fillId="24" borderId="0" xfId="0" applyNumberFormat="1" applyFont="1" applyFill="1" applyAlignment="1">
      <alignment vertical="top"/>
    </xf>
    <xf numFmtId="164" fontId="34" fillId="24" borderId="10" xfId="0" applyNumberFormat="1" applyFont="1" applyFill="1" applyBorder="1" applyAlignment="1">
      <alignment vertical="center" wrapText="1"/>
    </xf>
    <xf numFmtId="0" fontId="32" fillId="24" borderId="10" xfId="0" applyNumberFormat="1" applyFont="1" applyFill="1" applyBorder="1" applyAlignment="1">
      <alignment horizontal="center" vertical="center"/>
    </xf>
    <xf numFmtId="0" fontId="31" fillId="24" borderId="10" xfId="42" applyNumberFormat="1" applyFont="1" applyFill="1" applyBorder="1" applyAlignment="1">
      <alignment horizontal="center" vertical="center"/>
    </xf>
    <xf numFmtId="0" fontId="33" fillId="24" borderId="10" xfId="42" applyNumberFormat="1" applyFont="1" applyFill="1" applyBorder="1" applyAlignment="1">
      <alignment horizontal="center" vertical="center" wrapText="1"/>
    </xf>
    <xf numFmtId="164" fontId="30" fillId="24" borderId="10" xfId="28" applyFont="1" applyFill="1" applyBorder="1" applyAlignment="1">
      <alignment vertical="center" wrapText="1" readingOrder="1"/>
    </xf>
    <xf numFmtId="164" fontId="29" fillId="24" borderId="10" xfId="28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vertical="center"/>
    </xf>
    <xf numFmtId="164" fontId="34" fillId="24" borderId="10" xfId="42" applyNumberFormat="1" applyFont="1" applyFill="1" applyBorder="1" applyAlignment="1">
      <alignment horizontal="left" vertical="center" wrapText="1"/>
    </xf>
    <xf numFmtId="164" fontId="29" fillId="24" borderId="10" xfId="0" applyNumberFormat="1" applyFont="1" applyFill="1" applyBorder="1" applyAlignment="1">
      <alignment vertical="center"/>
    </xf>
    <xf numFmtId="164" fontId="34" fillId="24" borderId="10" xfId="42" applyNumberFormat="1" applyFont="1" applyFill="1" applyBorder="1" applyAlignment="1">
      <alignment vertical="center" wrapText="1"/>
    </xf>
    <xf numFmtId="164" fontId="28" fillId="24" borderId="10" xfId="0" applyNumberFormat="1" applyFont="1" applyFill="1" applyBorder="1" applyAlignment="1">
      <alignment vertical="center" wrapText="1"/>
    </xf>
    <xf numFmtId="0" fontId="36" fillId="24" borderId="10" xfId="42" applyFont="1" applyFill="1" applyBorder="1" applyAlignment="1">
      <alignment vertical="top" wrapText="1"/>
    </xf>
    <xf numFmtId="164" fontId="36" fillId="24" borderId="10" xfId="42" applyNumberFormat="1" applyFont="1" applyFill="1" applyBorder="1" applyAlignment="1">
      <alignment horizontal="center" vertical="center" wrapText="1"/>
    </xf>
    <xf numFmtId="164" fontId="36" fillId="24" borderId="10" xfId="42" quotePrefix="1" applyNumberFormat="1" applyFont="1" applyFill="1" applyBorder="1" applyAlignment="1">
      <alignment horizontal="center" vertical="center" wrapText="1"/>
    </xf>
    <xf numFmtId="0" fontId="36" fillId="24" borderId="10" xfId="42" applyNumberFormat="1" applyFont="1" applyFill="1" applyBorder="1" applyAlignment="1">
      <alignment horizontal="center" vertical="center" wrapText="1"/>
    </xf>
    <xf numFmtId="0" fontId="36" fillId="24" borderId="10" xfId="42" quotePrefix="1" applyNumberFormat="1" applyFont="1" applyFill="1" applyBorder="1" applyAlignment="1">
      <alignment horizontal="center" vertical="center" wrapText="1"/>
    </xf>
    <xf numFmtId="164" fontId="29" fillId="24" borderId="10" xfId="0" applyNumberFormat="1" applyFont="1" applyFill="1" applyBorder="1" applyAlignment="1">
      <alignment vertical="center" wrapText="1"/>
    </xf>
    <xf numFmtId="0" fontId="35" fillId="24" borderId="10" xfId="42" applyFont="1" applyFill="1" applyBorder="1" applyAlignment="1">
      <alignment vertical="center" wrapText="1"/>
    </xf>
    <xf numFmtId="0" fontId="42" fillId="0" borderId="0" xfId="0" applyFont="1" applyFill="1"/>
    <xf numFmtId="167" fontId="28" fillId="24" borderId="10" xfId="48" applyNumberFormat="1" applyFont="1" applyFill="1" applyBorder="1" applyAlignment="1">
      <alignment vertical="center"/>
    </xf>
    <xf numFmtId="0" fontId="28" fillId="24" borderId="0" xfId="0" applyFont="1" applyFill="1" applyAlignment="1"/>
    <xf numFmtId="0" fontId="31" fillId="24" borderId="10" xfId="0" applyFont="1" applyFill="1" applyBorder="1" applyAlignment="1">
      <alignment horizontal="right"/>
    </xf>
    <xf numFmtId="0" fontId="31" fillId="24" borderId="10" xfId="0" applyFont="1" applyFill="1" applyBorder="1" applyAlignment="1">
      <alignment horizontal="center"/>
    </xf>
    <xf numFmtId="41" fontId="43" fillId="24" borderId="10" xfId="28" applyNumberFormat="1" applyFont="1" applyFill="1" applyBorder="1" applyAlignment="1">
      <alignment horizontal="center" vertical="top" wrapText="1"/>
    </xf>
    <xf numFmtId="41" fontId="43" fillId="24" borderId="10" xfId="28" applyNumberFormat="1" applyFont="1" applyFill="1" applyBorder="1" applyAlignment="1">
      <alignment vertical="center" wrapText="1"/>
    </xf>
    <xf numFmtId="41" fontId="43" fillId="24" borderId="10" xfId="28" applyNumberFormat="1" applyFont="1" applyFill="1" applyBorder="1" applyAlignment="1">
      <alignment horizontal="center" vertical="center" wrapText="1"/>
    </xf>
    <xf numFmtId="41" fontId="43" fillId="24" borderId="14" xfId="28" applyNumberFormat="1" applyFont="1" applyFill="1" applyBorder="1" applyAlignment="1">
      <alignment horizontal="center" vertical="top" wrapText="1"/>
    </xf>
    <xf numFmtId="41" fontId="43" fillId="24" borderId="10" xfId="28" applyNumberFormat="1" applyFont="1" applyFill="1" applyBorder="1" applyAlignment="1">
      <alignment vertical="top" wrapText="1"/>
    </xf>
    <xf numFmtId="41" fontId="43" fillId="24" borderId="13" xfId="28" applyNumberFormat="1" applyFont="1" applyFill="1" applyBorder="1" applyAlignment="1">
      <alignment horizontal="center" vertical="top" wrapText="1"/>
    </xf>
    <xf numFmtId="41" fontId="43" fillId="24" borderId="10" xfId="28" applyNumberFormat="1" applyFont="1" applyFill="1" applyBorder="1" applyAlignment="1">
      <alignment horizontal="left" vertical="center" wrapText="1"/>
    </xf>
    <xf numFmtId="41" fontId="43" fillId="24" borderId="10" xfId="28" applyNumberFormat="1" applyFont="1" applyFill="1" applyBorder="1" applyAlignment="1">
      <alignment horizontal="right" vertical="top" wrapText="1"/>
    </xf>
    <xf numFmtId="164" fontId="29" fillId="24" borderId="10" xfId="0" applyNumberFormat="1" applyFont="1" applyFill="1" applyBorder="1" applyAlignment="1">
      <alignment horizontal="center" vertical="center" wrapText="1"/>
    </xf>
    <xf numFmtId="41" fontId="43" fillId="24" borderId="10" xfId="28" applyNumberFormat="1" applyFont="1" applyFill="1" applyBorder="1" applyAlignment="1">
      <alignment horizontal="left" vertical="top" wrapText="1"/>
    </xf>
    <xf numFmtId="164" fontId="28" fillId="24" borderId="10" xfId="42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horizontal="center" vertical="center"/>
    </xf>
    <xf numFmtId="0" fontId="38" fillId="24" borderId="15" xfId="42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top"/>
    </xf>
    <xf numFmtId="0" fontId="28" fillId="24" borderId="0" xfId="0" applyFont="1" applyFill="1" applyAlignment="1">
      <alignment horizontal="center"/>
    </xf>
    <xf numFmtId="164" fontId="35" fillId="24" borderId="11" xfId="42" applyNumberFormat="1" applyFont="1" applyFill="1" applyBorder="1" applyAlignment="1">
      <alignment horizontal="left" vertical="center" wrapText="1"/>
    </xf>
    <xf numFmtId="164" fontId="35" fillId="24" borderId="10" xfId="42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 readingOrder="1"/>
    </xf>
    <xf numFmtId="0" fontId="30" fillId="24" borderId="10" xfId="0" applyFont="1" applyFill="1" applyBorder="1" applyAlignment="1">
      <alignment horizontal="left" vertical="center" wrapText="1" readingOrder="1"/>
    </xf>
    <xf numFmtId="164" fontId="31" fillId="24" borderId="10" xfId="42" applyNumberFormat="1" applyFont="1" applyFill="1" applyBorder="1" applyAlignment="1">
      <alignment horizontal="left" vertical="center" wrapText="1"/>
    </xf>
    <xf numFmtId="0" fontId="31" fillId="24" borderId="10" xfId="42" applyFont="1" applyFill="1" applyBorder="1" applyAlignment="1">
      <alignment horizontal="center" vertical="center"/>
    </xf>
    <xf numFmtId="164" fontId="27" fillId="24" borderId="10" xfId="28" applyFont="1" applyFill="1" applyBorder="1" applyAlignment="1">
      <alignment horizontal="center" vertical="center" wrapText="1"/>
    </xf>
    <xf numFmtId="166" fontId="22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32" fillId="24" borderId="10" xfId="42" applyNumberFormat="1" applyFont="1" applyFill="1" applyBorder="1" applyAlignment="1">
      <alignment horizontal="center" vertical="center" wrapText="1"/>
    </xf>
    <xf numFmtId="166" fontId="31" fillId="24" borderId="14" xfId="42" applyNumberFormat="1" applyFont="1" applyFill="1" applyBorder="1" applyAlignment="1">
      <alignment horizontal="center" vertical="center" wrapText="1"/>
    </xf>
    <xf numFmtId="166" fontId="31" fillId="24" borderId="17" xfId="42" applyNumberFormat="1" applyFont="1" applyFill="1" applyBorder="1" applyAlignment="1">
      <alignment horizontal="center" vertical="center" wrapText="1"/>
    </xf>
    <xf numFmtId="1" fontId="27" fillId="24" borderId="10" xfId="28" applyNumberFormat="1" applyFont="1" applyFill="1" applyBorder="1" applyAlignment="1">
      <alignment horizontal="right" wrapText="1" readingOrder="1"/>
    </xf>
    <xf numFmtId="1" fontId="30" fillId="24" borderId="10" xfId="28" applyNumberFormat="1" applyFont="1" applyFill="1" applyBorder="1" applyAlignment="1">
      <alignment horizontal="right" wrapText="1" readingOrder="1"/>
    </xf>
    <xf numFmtId="1" fontId="27" fillId="24" borderId="10" xfId="28" applyNumberFormat="1" applyFont="1" applyFill="1" applyBorder="1" applyAlignment="1">
      <alignment wrapText="1" readingOrder="1"/>
    </xf>
    <xf numFmtId="1" fontId="30" fillId="24" borderId="10" xfId="28" applyNumberFormat="1" applyFont="1" applyFill="1" applyBorder="1" applyAlignment="1">
      <alignment wrapText="1" readingOrder="1"/>
    </xf>
    <xf numFmtId="0" fontId="39" fillId="24" borderId="15" xfId="42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40" fillId="24" borderId="0" xfId="0" applyFont="1" applyFill="1" applyAlignment="1"/>
    <xf numFmtId="0" fontId="28" fillId="24" borderId="0" xfId="0" applyFont="1" applyFill="1" applyAlignment="1">
      <alignment vertical="center"/>
    </xf>
    <xf numFmtId="0" fontId="45" fillId="24" borderId="15" xfId="42" applyFont="1" applyFill="1" applyBorder="1" applyAlignment="1">
      <alignment horizontal="center" vertical="center"/>
    </xf>
    <xf numFmtId="0" fontId="45" fillId="24" borderId="10" xfId="42" applyNumberFormat="1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/>
    </xf>
    <xf numFmtId="0" fontId="47" fillId="24" borderId="10" xfId="42" applyNumberFormat="1" applyFont="1" applyFill="1" applyBorder="1" applyAlignment="1">
      <alignment horizontal="center" vertical="center"/>
    </xf>
    <xf numFmtId="0" fontId="47" fillId="24" borderId="10" xfId="42" applyNumberFormat="1" applyFont="1" applyFill="1" applyBorder="1" applyAlignment="1">
      <alignment horizontal="center" vertical="center" wrapText="1"/>
    </xf>
    <xf numFmtId="0" fontId="45" fillId="24" borderId="10" xfId="42" applyNumberFormat="1" applyFont="1" applyFill="1" applyBorder="1" applyAlignment="1">
      <alignment horizontal="center" vertical="center"/>
    </xf>
    <xf numFmtId="164" fontId="48" fillId="24" borderId="10" xfId="28" applyFont="1" applyFill="1" applyBorder="1" applyAlignment="1">
      <alignment vertical="center" wrapText="1" readingOrder="1"/>
    </xf>
    <xf numFmtId="164" fontId="48" fillId="24" borderId="10" xfId="28" applyFont="1" applyFill="1" applyBorder="1" applyAlignment="1">
      <alignment horizontal="center" vertical="center" wrapText="1"/>
    </xf>
    <xf numFmtId="164" fontId="50" fillId="24" borderId="10" xfId="28" applyFont="1" applyFill="1" applyBorder="1" applyAlignment="1">
      <alignment vertical="center" wrapText="1" readingOrder="1"/>
    </xf>
    <xf numFmtId="0" fontId="45" fillId="24" borderId="10" xfId="42" applyFont="1" applyFill="1" applyBorder="1" applyAlignment="1">
      <alignment horizontal="center" vertical="center"/>
    </xf>
    <xf numFmtId="164" fontId="45" fillId="24" borderId="10" xfId="42" applyNumberFormat="1" applyFont="1" applyFill="1" applyBorder="1" applyAlignment="1">
      <alignment horizontal="left" vertical="center" wrapText="1"/>
    </xf>
    <xf numFmtId="164" fontId="46" fillId="24" borderId="10" xfId="42" applyNumberFormat="1" applyFont="1" applyFill="1" applyBorder="1" applyAlignment="1">
      <alignment horizontal="left" vertical="center" wrapText="1"/>
    </xf>
    <xf numFmtId="164" fontId="48" fillId="24" borderId="10" xfId="42" applyNumberFormat="1" applyFont="1" applyFill="1" applyBorder="1" applyAlignment="1">
      <alignment horizontal="center" vertical="center"/>
    </xf>
    <xf numFmtId="0" fontId="50" fillId="24" borderId="10" xfId="42" applyFont="1" applyFill="1" applyBorder="1" applyAlignment="1">
      <alignment horizontal="center" vertical="center"/>
    </xf>
    <xf numFmtId="41" fontId="51" fillId="24" borderId="10" xfId="28" applyNumberFormat="1" applyFont="1" applyFill="1" applyBorder="1" applyAlignment="1">
      <alignment horizontal="center" vertical="center" wrapText="1"/>
    </xf>
    <xf numFmtId="0" fontId="48" fillId="24" borderId="10" xfId="42" applyFont="1" applyFill="1" applyBorder="1" applyAlignment="1">
      <alignment horizontal="center" vertical="center"/>
    </xf>
    <xf numFmtId="164" fontId="48" fillId="24" borderId="10" xfId="42" applyNumberFormat="1" applyFont="1" applyFill="1" applyBorder="1" applyAlignment="1">
      <alignment horizontal="left" vertical="center" wrapText="1"/>
    </xf>
    <xf numFmtId="0" fontId="48" fillId="24" borderId="10" xfId="42" applyFont="1" applyFill="1" applyBorder="1" applyAlignment="1">
      <alignment horizontal="center" vertical="center" wrapText="1"/>
    </xf>
    <xf numFmtId="164" fontId="46" fillId="24" borderId="10" xfId="0" applyNumberFormat="1" applyFont="1" applyFill="1" applyBorder="1" applyAlignment="1">
      <alignment horizontal="center" vertical="center" wrapText="1"/>
    </xf>
    <xf numFmtId="164" fontId="48" fillId="24" borderId="11" xfId="42" applyNumberFormat="1" applyFont="1" applyFill="1" applyBorder="1" applyAlignment="1">
      <alignment horizontal="left" vertical="center" wrapText="1"/>
    </xf>
    <xf numFmtId="0" fontId="45" fillId="24" borderId="0" xfId="0" applyFont="1" applyFill="1"/>
    <xf numFmtId="166" fontId="54" fillId="24" borderId="0" xfId="0" applyNumberFormat="1" applyFont="1" applyFill="1"/>
    <xf numFmtId="164" fontId="45" fillId="24" borderId="10" xfId="0" applyNumberFormat="1" applyFont="1" applyFill="1" applyBorder="1" applyAlignment="1">
      <alignment horizontal="center" vertical="center" wrapText="1"/>
    </xf>
    <xf numFmtId="164" fontId="45" fillId="24" borderId="10" xfId="0" applyNumberFormat="1" applyFont="1" applyFill="1" applyBorder="1" applyAlignment="1">
      <alignment horizontal="center" vertical="center"/>
    </xf>
    <xf numFmtId="164" fontId="50" fillId="24" borderId="10" xfId="28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 vertical="center"/>
    </xf>
    <xf numFmtId="0" fontId="45" fillId="24" borderId="15" xfId="42" applyFont="1" applyFill="1" applyBorder="1" applyAlignment="1">
      <alignment horizontal="left" vertical="center"/>
    </xf>
    <xf numFmtId="0" fontId="45" fillId="24" borderId="10" xfId="41" applyFont="1" applyFill="1" applyBorder="1" applyAlignment="1">
      <alignment horizontal="left" vertical="center"/>
    </xf>
    <xf numFmtId="166" fontId="46" fillId="24" borderId="10" xfId="41" applyNumberFormat="1" applyFont="1" applyFill="1" applyBorder="1" applyAlignment="1">
      <alignment horizontal="left" vertical="center"/>
    </xf>
    <xf numFmtId="0" fontId="47" fillId="24" borderId="10" xfId="42" applyNumberFormat="1" applyFont="1" applyFill="1" applyBorder="1" applyAlignment="1">
      <alignment horizontal="left" vertical="center" wrapText="1"/>
    </xf>
    <xf numFmtId="0" fontId="50" fillId="24" borderId="10" xfId="0" applyFont="1" applyFill="1" applyBorder="1" applyAlignment="1">
      <alignment horizontal="left" vertical="center" wrapText="1"/>
    </xf>
    <xf numFmtId="0" fontId="48" fillId="24" borderId="10" xfId="0" applyFont="1" applyFill="1" applyBorder="1" applyAlignment="1">
      <alignment horizontal="left" vertical="center" wrapText="1"/>
    </xf>
    <xf numFmtId="164" fontId="50" fillId="24" borderId="10" xfId="42" quotePrefix="1" applyNumberFormat="1" applyFont="1" applyFill="1" applyBorder="1" applyAlignment="1">
      <alignment horizontal="left" vertical="center" wrapText="1"/>
    </xf>
    <xf numFmtId="0" fontId="50" fillId="24" borderId="10" xfId="42" applyNumberFormat="1" applyFont="1" applyFill="1" applyBorder="1" applyAlignment="1">
      <alignment horizontal="left" vertical="center" wrapText="1"/>
    </xf>
    <xf numFmtId="0" fontId="48" fillId="24" borderId="10" xfId="42" applyFont="1" applyFill="1" applyBorder="1" applyAlignment="1">
      <alignment horizontal="left" vertical="center" wrapText="1"/>
    </xf>
    <xf numFmtId="164" fontId="50" fillId="24" borderId="10" xfId="42" applyNumberFormat="1" applyFont="1" applyFill="1" applyBorder="1" applyAlignment="1">
      <alignment horizontal="left" vertical="center" wrapText="1"/>
    </xf>
    <xf numFmtId="0" fontId="50" fillId="24" borderId="10" xfId="42" quotePrefix="1" applyNumberFormat="1" applyFont="1" applyFill="1" applyBorder="1" applyAlignment="1">
      <alignment horizontal="left" vertical="center" wrapText="1"/>
    </xf>
    <xf numFmtId="0" fontId="45" fillId="24" borderId="10" xfId="41" applyFont="1" applyFill="1" applyBorder="1" applyAlignment="1">
      <alignment horizontal="center" vertical="center"/>
    </xf>
    <xf numFmtId="167" fontId="45" fillId="24" borderId="10" xfId="48" applyNumberFormat="1" applyFont="1" applyFill="1" applyBorder="1" applyAlignment="1">
      <alignment horizontal="center" vertical="center"/>
    </xf>
    <xf numFmtId="164" fontId="45" fillId="24" borderId="10" xfId="42" applyNumberFormat="1" applyFont="1" applyFill="1" applyBorder="1" applyAlignment="1">
      <alignment horizontal="center" vertical="center" wrapText="1"/>
    </xf>
    <xf numFmtId="164" fontId="46" fillId="24" borderId="10" xfId="0" applyNumberFormat="1" applyFont="1" applyFill="1" applyBorder="1" applyAlignment="1">
      <alignment horizontal="center" vertical="center"/>
    </xf>
    <xf numFmtId="167" fontId="46" fillId="24" borderId="10" xfId="29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41" fontId="51" fillId="24" borderId="14" xfId="28" applyNumberFormat="1" applyFont="1" applyFill="1" applyBorder="1" applyAlignment="1">
      <alignment horizontal="center" vertical="center" wrapText="1"/>
    </xf>
    <xf numFmtId="41" fontId="51" fillId="24" borderId="13" xfId="28" applyNumberFormat="1" applyFont="1" applyFill="1" applyBorder="1" applyAlignment="1">
      <alignment horizontal="center" vertical="center" wrapText="1"/>
    </xf>
    <xf numFmtId="166" fontId="54" fillId="24" borderId="0" xfId="0" applyNumberFormat="1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24" borderId="10" xfId="42" applyFont="1" applyFill="1" applyBorder="1" applyAlignment="1">
      <alignment horizontal="left" vertical="center" wrapText="1"/>
    </xf>
    <xf numFmtId="0" fontId="45" fillId="24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8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 vertical="center"/>
    </xf>
    <xf numFmtId="164" fontId="35" fillId="24" borderId="11" xfId="42" applyNumberFormat="1" applyFont="1" applyFill="1" applyBorder="1" applyAlignment="1">
      <alignment horizontal="left" vertical="center" wrapText="1"/>
    </xf>
    <xf numFmtId="164" fontId="35" fillId="24" borderId="10" xfId="42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 readingOrder="1"/>
    </xf>
    <xf numFmtId="0" fontId="30" fillId="24" borderId="10" xfId="0" applyFont="1" applyFill="1" applyBorder="1" applyAlignment="1">
      <alignment horizontal="left" vertical="center" wrapText="1" readingOrder="1"/>
    </xf>
    <xf numFmtId="164" fontId="31" fillId="24" borderId="10" xfId="42" applyNumberFormat="1" applyFont="1" applyFill="1" applyBorder="1" applyAlignment="1">
      <alignment horizontal="left" vertical="center" wrapText="1"/>
    </xf>
    <xf numFmtId="0" fontId="32" fillId="24" borderId="10" xfId="42" applyNumberFormat="1" applyFont="1" applyFill="1" applyBorder="1" applyAlignment="1">
      <alignment horizontal="center" vertical="center" wrapText="1"/>
    </xf>
    <xf numFmtId="0" fontId="31" fillId="24" borderId="10" xfId="42" applyFont="1" applyFill="1" applyBorder="1" applyAlignment="1">
      <alignment horizontal="center" vertical="center"/>
    </xf>
    <xf numFmtId="166" fontId="31" fillId="24" borderId="10" xfId="42" applyNumberFormat="1" applyFont="1" applyFill="1" applyBorder="1" applyAlignment="1">
      <alignment horizontal="center" vertical="center" wrapText="1"/>
    </xf>
    <xf numFmtId="166" fontId="28" fillId="24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top"/>
    </xf>
    <xf numFmtId="0" fontId="55" fillId="24" borderId="10" xfId="0" applyFont="1" applyFill="1" applyBorder="1" applyAlignment="1">
      <alignment horizontal="center" vertical="center"/>
    </xf>
    <xf numFmtId="0" fontId="46" fillId="24" borderId="15" xfId="42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0" fontId="26" fillId="0" borderId="10" xfId="0" applyNumberFormat="1" applyFont="1" applyBorder="1"/>
    <xf numFmtId="0" fontId="23" fillId="0" borderId="10" xfId="0" applyFont="1" applyBorder="1"/>
    <xf numFmtId="168" fontId="23" fillId="0" borderId="10" xfId="28" applyNumberFormat="1" applyFont="1" applyBorder="1"/>
    <xf numFmtId="168" fontId="23" fillId="0" borderId="10" xfId="0" applyNumberFormat="1" applyFont="1" applyFill="1" applyBorder="1"/>
    <xf numFmtId="0" fontId="23" fillId="24" borderId="10" xfId="0" applyFont="1" applyFill="1" applyBorder="1"/>
    <xf numFmtId="0" fontId="25" fillId="24" borderId="10" xfId="0" applyFont="1" applyFill="1" applyBorder="1"/>
    <xf numFmtId="2" fontId="23" fillId="24" borderId="10" xfId="0" applyNumberFormat="1" applyFont="1" applyFill="1" applyBorder="1"/>
    <xf numFmtId="0" fontId="27" fillId="24" borderId="10" xfId="0" applyFont="1" applyFill="1" applyBorder="1" applyAlignment="1">
      <alignment horizontal="left" vertical="center" wrapText="1" readingOrder="1"/>
    </xf>
    <xf numFmtId="0" fontId="30" fillId="24" borderId="10" xfId="0" applyFont="1" applyFill="1" applyBorder="1" applyAlignment="1">
      <alignment horizontal="left" vertical="center" wrapText="1" readingOrder="1"/>
    </xf>
    <xf numFmtId="0" fontId="26" fillId="24" borderId="0" xfId="0" applyNumberFormat="1" applyFont="1" applyFill="1"/>
    <xf numFmtId="164" fontId="45" fillId="24" borderId="10" xfId="42" applyNumberFormat="1" applyFont="1" applyFill="1" applyBorder="1" applyAlignment="1">
      <alignment horizontal="left" vertical="center" wrapText="1"/>
    </xf>
    <xf numFmtId="166" fontId="45" fillId="24" borderId="14" xfId="42" applyNumberFormat="1" applyFont="1" applyFill="1" applyBorder="1" applyAlignment="1">
      <alignment horizontal="center" vertical="center" wrapText="1"/>
    </xf>
    <xf numFmtId="166" fontId="45" fillId="24" borderId="16" xfId="42" applyNumberFormat="1" applyFont="1" applyFill="1" applyBorder="1" applyAlignment="1">
      <alignment horizontal="center" vertical="center" wrapText="1"/>
    </xf>
    <xf numFmtId="166" fontId="45" fillId="24" borderId="17" xfId="42" applyNumberFormat="1" applyFont="1" applyFill="1" applyBorder="1" applyAlignment="1">
      <alignment horizontal="center" vertical="center" wrapText="1"/>
    </xf>
    <xf numFmtId="0" fontId="47" fillId="24" borderId="10" xfId="42" applyNumberFormat="1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left" vertical="center" wrapText="1"/>
    </xf>
    <xf numFmtId="0" fontId="45" fillId="24" borderId="0" xfId="42" applyFont="1" applyFill="1" applyBorder="1" applyAlignment="1">
      <alignment horizontal="center" vertical="center"/>
    </xf>
    <xf numFmtId="0" fontId="45" fillId="24" borderId="11" xfId="41" applyFont="1" applyFill="1" applyBorder="1" applyAlignment="1">
      <alignment horizontal="left" vertical="center"/>
    </xf>
    <xf numFmtId="0" fontId="45" fillId="24" borderId="12" xfId="41" applyFont="1" applyFill="1" applyBorder="1" applyAlignment="1">
      <alignment horizontal="left" vertical="center"/>
    </xf>
    <xf numFmtId="0" fontId="45" fillId="24" borderId="10" xfId="42" applyFont="1" applyFill="1" applyBorder="1" applyAlignment="1">
      <alignment horizontal="center" vertical="center"/>
    </xf>
    <xf numFmtId="0" fontId="45" fillId="24" borderId="10" xfId="42" applyFont="1" applyFill="1" applyBorder="1" applyAlignment="1">
      <alignment horizontal="left" vertical="center" wrapText="1"/>
    </xf>
    <xf numFmtId="166" fontId="45" fillId="24" borderId="10" xfId="42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50" fillId="24" borderId="10" xfId="0" applyFont="1" applyFill="1" applyBorder="1" applyAlignment="1">
      <alignment horizontal="left" vertical="center" wrapText="1"/>
    </xf>
    <xf numFmtId="0" fontId="50" fillId="24" borderId="10" xfId="40" applyFont="1" applyFill="1" applyBorder="1" applyAlignment="1">
      <alignment horizontal="left" vertical="center" wrapText="1"/>
    </xf>
    <xf numFmtId="164" fontId="48" fillId="24" borderId="10" xfId="42" applyNumberFormat="1" applyFont="1" applyFill="1" applyBorder="1" applyAlignment="1">
      <alignment horizontal="left" vertical="center" wrapText="1"/>
    </xf>
    <xf numFmtId="0" fontId="50" fillId="24" borderId="11" xfId="40" applyFont="1" applyFill="1" applyBorder="1" applyAlignment="1">
      <alignment horizontal="left" vertical="center" wrapText="1"/>
    </xf>
    <xf numFmtId="0" fontId="50" fillId="24" borderId="13" xfId="40" applyFont="1" applyFill="1" applyBorder="1" applyAlignment="1">
      <alignment horizontal="left" vertical="center" wrapText="1"/>
    </xf>
    <xf numFmtId="164" fontId="50" fillId="24" borderId="11" xfId="42" applyNumberFormat="1" applyFont="1" applyFill="1" applyBorder="1" applyAlignment="1">
      <alignment horizontal="left" vertical="center" wrapText="1"/>
    </xf>
    <xf numFmtId="164" fontId="50" fillId="24" borderId="13" xfId="42" applyNumberFormat="1" applyFont="1" applyFill="1" applyBorder="1" applyAlignment="1">
      <alignment horizontal="left" vertical="center" wrapText="1"/>
    </xf>
    <xf numFmtId="164" fontId="50" fillId="24" borderId="10" xfId="42" applyNumberFormat="1" applyFont="1" applyFill="1" applyBorder="1" applyAlignment="1">
      <alignment horizontal="left" vertical="center" wrapText="1"/>
    </xf>
    <xf numFmtId="164" fontId="48" fillId="24" borderId="11" xfId="42" applyNumberFormat="1" applyFont="1" applyFill="1" applyBorder="1" applyAlignment="1">
      <alignment horizontal="left" vertical="center" wrapText="1"/>
    </xf>
    <xf numFmtId="164" fontId="48" fillId="24" borderId="12" xfId="42" applyNumberFormat="1" applyFont="1" applyFill="1" applyBorder="1" applyAlignment="1">
      <alignment horizontal="left" vertical="center" wrapText="1"/>
    </xf>
    <xf numFmtId="164" fontId="48" fillId="24" borderId="13" xfId="42" applyNumberFormat="1" applyFont="1" applyFill="1" applyBorder="1" applyAlignment="1">
      <alignment horizontal="left" vertical="center" wrapText="1"/>
    </xf>
    <xf numFmtId="0" fontId="50" fillId="24" borderId="11" xfId="42" applyNumberFormat="1" applyFont="1" applyFill="1" applyBorder="1" applyAlignment="1">
      <alignment horizontal="left" vertical="center" wrapText="1"/>
    </xf>
    <xf numFmtId="0" fontId="50" fillId="24" borderId="13" xfId="42" applyNumberFormat="1" applyFont="1" applyFill="1" applyBorder="1" applyAlignment="1">
      <alignment horizontal="left" vertical="center" wrapText="1"/>
    </xf>
    <xf numFmtId="0" fontId="50" fillId="24" borderId="10" xfId="42" applyNumberFormat="1" applyFont="1" applyFill="1" applyBorder="1" applyAlignment="1">
      <alignment horizontal="left" vertical="center" wrapText="1"/>
    </xf>
    <xf numFmtId="0" fontId="46" fillId="24" borderId="19" xfId="0" applyFont="1" applyFill="1" applyBorder="1" applyAlignment="1">
      <alignment horizontal="center"/>
    </xf>
    <xf numFmtId="0" fontId="45" fillId="24" borderId="0" xfId="0" applyFont="1" applyFill="1" applyAlignment="1">
      <alignment horizontal="center" vertical="center"/>
    </xf>
    <xf numFmtId="166" fontId="46" fillId="24" borderId="10" xfId="42" applyNumberFormat="1" applyFont="1" applyFill="1" applyBorder="1" applyAlignment="1">
      <alignment horizontal="center" vertical="center" wrapText="1"/>
    </xf>
    <xf numFmtId="166" fontId="45" fillId="24" borderId="18" xfId="42" applyNumberFormat="1" applyFont="1" applyFill="1" applyBorder="1" applyAlignment="1">
      <alignment horizontal="center" vertical="center" wrapText="1"/>
    </xf>
    <xf numFmtId="166" fontId="45" fillId="24" borderId="19" xfId="42" applyNumberFormat="1" applyFont="1" applyFill="1" applyBorder="1" applyAlignment="1">
      <alignment horizontal="center" vertical="center" wrapText="1"/>
    </xf>
    <xf numFmtId="166" fontId="45" fillId="24" borderId="20" xfId="42" applyNumberFormat="1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/>
    </xf>
    <xf numFmtId="0" fontId="52" fillId="24" borderId="0" xfId="0" applyFont="1" applyFill="1" applyAlignment="1">
      <alignment horizontal="center" vertical="center"/>
    </xf>
    <xf numFmtId="0" fontId="53" fillId="24" borderId="0" xfId="0" applyFont="1" applyFill="1" applyAlignment="1">
      <alignment horizontal="center"/>
    </xf>
    <xf numFmtId="0" fontId="51" fillId="27" borderId="11" xfId="0" applyFont="1" applyFill="1" applyBorder="1" applyAlignment="1">
      <alignment horizontal="left" vertical="center" wrapText="1"/>
    </xf>
    <xf numFmtId="0" fontId="51" fillId="27" borderId="13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center"/>
    </xf>
    <xf numFmtId="0" fontId="40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 vertical="center"/>
    </xf>
    <xf numFmtId="164" fontId="36" fillId="24" borderId="11" xfId="42" applyNumberFormat="1" applyFont="1" applyFill="1" applyBorder="1" applyAlignment="1">
      <alignment horizontal="left" vertical="center" wrapText="1"/>
    </xf>
    <xf numFmtId="164" fontId="36" fillId="24" borderId="13" xfId="42" applyNumberFormat="1" applyFont="1" applyFill="1" applyBorder="1" applyAlignment="1">
      <alignment horizontal="left" vertical="center" wrapText="1"/>
    </xf>
    <xf numFmtId="0" fontId="36" fillId="24" borderId="10" xfId="42" applyNumberFormat="1" applyFont="1" applyFill="1" applyBorder="1" applyAlignment="1">
      <alignment horizontal="left" vertical="center" wrapText="1"/>
    </xf>
    <xf numFmtId="0" fontId="36" fillId="24" borderId="11" xfId="42" applyNumberFormat="1" applyFont="1" applyFill="1" applyBorder="1" applyAlignment="1">
      <alignment horizontal="left" vertical="center" wrapText="1"/>
    </xf>
    <xf numFmtId="0" fontId="36" fillId="24" borderId="13" xfId="42" applyNumberFormat="1" applyFont="1" applyFill="1" applyBorder="1" applyAlignment="1">
      <alignment horizontal="left" vertical="center" wrapText="1"/>
    </xf>
    <xf numFmtId="164" fontId="35" fillId="24" borderId="11" xfId="42" applyNumberFormat="1" applyFont="1" applyFill="1" applyBorder="1" applyAlignment="1">
      <alignment horizontal="left" vertical="center" wrapText="1"/>
    </xf>
    <xf numFmtId="164" fontId="35" fillId="24" borderId="12" xfId="42" applyNumberFormat="1" applyFont="1" applyFill="1" applyBorder="1" applyAlignment="1">
      <alignment horizontal="left" vertical="center" wrapText="1"/>
    </xf>
    <xf numFmtId="164" fontId="35" fillId="24" borderId="13" xfId="42" applyNumberFormat="1" applyFont="1" applyFill="1" applyBorder="1" applyAlignment="1">
      <alignment horizontal="left" vertical="center" wrapText="1"/>
    </xf>
    <xf numFmtId="164" fontId="36" fillId="24" borderId="11" xfId="42" applyNumberFormat="1" applyFont="1" applyFill="1" applyBorder="1" applyAlignment="1">
      <alignment horizontal="left" vertical="top" wrapText="1"/>
    </xf>
    <xf numFmtId="164" fontId="36" fillId="24" borderId="13" xfId="42" applyNumberFormat="1" applyFont="1" applyFill="1" applyBorder="1" applyAlignment="1">
      <alignment horizontal="left" vertical="top" wrapText="1"/>
    </xf>
    <xf numFmtId="164" fontId="36" fillId="24" borderId="10" xfId="42" applyNumberFormat="1" applyFont="1" applyFill="1" applyBorder="1" applyAlignment="1">
      <alignment horizontal="left" vertical="center" wrapText="1"/>
    </xf>
    <xf numFmtId="164" fontId="35" fillId="24" borderId="10" xfId="42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44" fillId="27" borderId="13" xfId="0" applyFont="1" applyFill="1" applyBorder="1" applyAlignment="1">
      <alignment horizontal="center" vertical="center" wrapText="1"/>
    </xf>
    <xf numFmtId="0" fontId="36" fillId="24" borderId="10" xfId="40" applyFont="1" applyFill="1" applyBorder="1" applyAlignment="1">
      <alignment horizontal="left" vertical="center" wrapText="1"/>
    </xf>
    <xf numFmtId="0" fontId="36" fillId="24" borderId="11" xfId="40" applyFont="1" applyFill="1" applyBorder="1" applyAlignment="1">
      <alignment horizontal="left" vertical="center" wrapText="1"/>
    </xf>
    <xf numFmtId="0" fontId="36" fillId="24" borderId="13" xfId="4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 readingOrder="1"/>
    </xf>
    <xf numFmtId="0" fontId="30" fillId="24" borderId="10" xfId="0" applyFont="1" applyFill="1" applyBorder="1" applyAlignment="1">
      <alignment horizontal="left" vertical="center" wrapText="1" readingOrder="1"/>
    </xf>
    <xf numFmtId="164" fontId="31" fillId="24" borderId="10" xfId="42" applyNumberFormat="1" applyFont="1" applyFill="1" applyBorder="1" applyAlignment="1">
      <alignment horizontal="left" vertical="center" wrapText="1"/>
    </xf>
    <xf numFmtId="0" fontId="32" fillId="24" borderId="10" xfId="42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38" fillId="24" borderId="11" xfId="41" applyFont="1" applyFill="1" applyBorder="1" applyAlignment="1">
      <alignment horizontal="left" vertical="center"/>
    </xf>
    <xf numFmtId="0" fontId="38" fillId="24" borderId="12" xfId="41" applyFont="1" applyFill="1" applyBorder="1" applyAlignment="1">
      <alignment horizontal="left" vertical="center"/>
    </xf>
    <xf numFmtId="0" fontId="31" fillId="24" borderId="10" xfId="42" applyFont="1" applyFill="1" applyBorder="1" applyAlignment="1">
      <alignment horizontal="center" vertical="center"/>
    </xf>
    <xf numFmtId="0" fontId="31" fillId="24" borderId="10" xfId="42" applyFont="1" applyFill="1" applyBorder="1" applyAlignment="1">
      <alignment horizontal="center" vertical="center" wrapText="1"/>
    </xf>
    <xf numFmtId="166" fontId="31" fillId="24" borderId="10" xfId="42" applyNumberFormat="1" applyFont="1" applyFill="1" applyBorder="1" applyAlignment="1">
      <alignment horizontal="center" vertical="center" wrapText="1"/>
    </xf>
    <xf numFmtId="166" fontId="31" fillId="24" borderId="18" xfId="42" applyNumberFormat="1" applyFont="1" applyFill="1" applyBorder="1" applyAlignment="1">
      <alignment horizontal="center" vertical="center" wrapText="1"/>
    </xf>
    <xf numFmtId="166" fontId="31" fillId="24" borderId="20" xfId="42" applyNumberFormat="1" applyFont="1" applyFill="1" applyBorder="1" applyAlignment="1">
      <alignment horizontal="center" vertical="center" wrapText="1"/>
    </xf>
    <xf numFmtId="166" fontId="31" fillId="24" borderId="21" xfId="42" applyNumberFormat="1" applyFont="1" applyFill="1" applyBorder="1" applyAlignment="1">
      <alignment horizontal="center" vertical="center" wrapText="1"/>
    </xf>
    <xf numFmtId="166" fontId="31" fillId="24" borderId="22" xfId="42" applyNumberFormat="1" applyFont="1" applyFill="1" applyBorder="1" applyAlignment="1">
      <alignment horizontal="center" vertical="center" wrapText="1"/>
    </xf>
    <xf numFmtId="166" fontId="31" fillId="24" borderId="23" xfId="42" applyNumberFormat="1" applyFont="1" applyFill="1" applyBorder="1" applyAlignment="1">
      <alignment horizontal="center" vertical="center" wrapText="1"/>
    </xf>
    <xf numFmtId="166" fontId="31" fillId="24" borderId="24" xfId="42" applyNumberFormat="1" applyFont="1" applyFill="1" applyBorder="1" applyAlignment="1">
      <alignment horizontal="center" vertical="center" wrapText="1"/>
    </xf>
    <xf numFmtId="166" fontId="31" fillId="24" borderId="14" xfId="42" applyNumberFormat="1" applyFont="1" applyFill="1" applyBorder="1" applyAlignment="1">
      <alignment horizontal="center" vertical="center" wrapText="1"/>
    </xf>
    <xf numFmtId="166" fontId="31" fillId="24" borderId="16" xfId="42" applyNumberFormat="1" applyFont="1" applyFill="1" applyBorder="1" applyAlignment="1">
      <alignment horizontal="center" vertical="center" wrapText="1"/>
    </xf>
    <xf numFmtId="166" fontId="31" fillId="24" borderId="17" xfId="42" applyNumberFormat="1" applyFont="1" applyFill="1" applyBorder="1" applyAlignment="1">
      <alignment horizontal="center" vertical="center" wrapText="1"/>
    </xf>
    <xf numFmtId="166" fontId="31" fillId="24" borderId="11" xfId="42" applyNumberFormat="1" applyFont="1" applyFill="1" applyBorder="1" applyAlignment="1">
      <alignment horizontal="center" vertical="center" wrapText="1"/>
    </xf>
    <xf numFmtId="166" fontId="31" fillId="24" borderId="12" xfId="42" applyNumberFormat="1" applyFont="1" applyFill="1" applyBorder="1" applyAlignment="1">
      <alignment horizontal="center" vertical="center" wrapText="1"/>
    </xf>
    <xf numFmtId="166" fontId="31" fillId="24" borderId="13" xfId="42" applyNumberFormat="1" applyFont="1" applyFill="1" applyBorder="1" applyAlignment="1">
      <alignment horizontal="center" vertical="center" wrapText="1"/>
    </xf>
    <xf numFmtId="166" fontId="31" fillId="24" borderId="19" xfId="42" applyNumberFormat="1" applyFont="1" applyFill="1" applyBorder="1" applyAlignment="1">
      <alignment horizontal="center" vertical="center" wrapText="1"/>
    </xf>
    <xf numFmtId="166" fontId="28" fillId="24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top"/>
    </xf>
    <xf numFmtId="166" fontId="29" fillId="24" borderId="0" xfId="0" applyNumberFormat="1" applyFont="1" applyFill="1" applyBorder="1" applyAlignment="1">
      <alignment horizontal="center" vertical="top"/>
    </xf>
    <xf numFmtId="0" fontId="38" fillId="24" borderId="13" xfId="41" applyFont="1" applyFill="1" applyBorder="1" applyAlignment="1">
      <alignment horizontal="left" vertical="center"/>
    </xf>
    <xf numFmtId="164" fontId="31" fillId="24" borderId="10" xfId="42" applyNumberFormat="1" applyFont="1" applyFill="1" applyBorder="1" applyAlignment="1">
      <alignment horizontal="center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 [0]" xfId="28" builtinId="6"/>
    <cellStyle name="Comma 2" xfId="29" xr:uid="{00000000-0005-0000-0000-00001D000000}"/>
    <cellStyle name="Comma 3" xfId="30" xr:uid="{00000000-0005-0000-0000-00001E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9000000}"/>
    <cellStyle name="Normal_Pak DEDE" xfId="41" xr:uid="{00000000-0005-0000-0000-00002A000000}"/>
    <cellStyle name="Normal_Sheet1" xfId="42" xr:uid="{00000000-0005-0000-0000-00002B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5"/>
  <sheetViews>
    <sheetView view="pageBreakPreview" zoomScale="50" zoomScaleNormal="70" zoomScaleSheetLayoutView="50" workbookViewId="0">
      <selection activeCell="H10" sqref="H10"/>
    </sheetView>
  </sheetViews>
  <sheetFormatPr defaultColWidth="9.1796875" defaultRowHeight="26" x14ac:dyDescent="0.6"/>
  <cols>
    <col min="1" max="1" width="10.7265625" style="140" customWidth="1"/>
    <col min="2" max="4" width="10.453125" style="143" customWidth="1"/>
    <col min="5" max="5" width="34.7265625" style="143" customWidth="1"/>
    <col min="6" max="8" width="34.7265625" style="139" customWidth="1"/>
    <col min="9" max="10" width="50.7265625" style="115" customWidth="1"/>
    <col min="11" max="11" width="34.7265625" style="115" customWidth="1"/>
    <col min="12" max="16384" width="9.1796875" style="1"/>
  </cols>
  <sheetData>
    <row r="1" spans="1:11" s="5" customFormat="1" ht="24.5" x14ac:dyDescent="0.5">
      <c r="A1" s="177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5" customFormat="1" ht="24.5" x14ac:dyDescent="0.5">
      <c r="A2" s="177" t="s">
        <v>129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s="5" customFormat="1" ht="26.25" customHeight="1" x14ac:dyDescent="0.5">
      <c r="A3" s="94"/>
      <c r="B3" s="120"/>
      <c r="C3" s="120"/>
      <c r="D3" s="120"/>
      <c r="E3" s="120"/>
      <c r="F3" s="94"/>
      <c r="G3" s="94"/>
      <c r="H3" s="157"/>
      <c r="I3" s="94"/>
      <c r="J3" s="94"/>
      <c r="K3" s="94"/>
    </row>
    <row r="4" spans="1:11" s="5" customFormat="1" ht="30" customHeight="1" x14ac:dyDescent="0.5">
      <c r="A4" s="131" t="s">
        <v>15</v>
      </c>
      <c r="B4" s="121"/>
      <c r="C4" s="122"/>
      <c r="D4" s="122" t="s">
        <v>16</v>
      </c>
      <c r="E4" s="178" t="s">
        <v>48</v>
      </c>
      <c r="F4" s="179"/>
      <c r="G4" s="179"/>
      <c r="H4" s="179"/>
      <c r="I4" s="179"/>
      <c r="J4" s="179"/>
      <c r="K4" s="179"/>
    </row>
    <row r="5" spans="1:11" s="6" customFormat="1" ht="33" customHeight="1" x14ac:dyDescent="0.35">
      <c r="A5" s="180" t="s">
        <v>0</v>
      </c>
      <c r="B5" s="181" t="s">
        <v>127</v>
      </c>
      <c r="C5" s="181"/>
      <c r="D5" s="181"/>
      <c r="E5" s="181"/>
      <c r="F5" s="182" t="s">
        <v>130</v>
      </c>
      <c r="G5" s="172" t="s">
        <v>131</v>
      </c>
      <c r="H5" s="201" t="s">
        <v>156</v>
      </c>
      <c r="I5" s="202"/>
      <c r="J5" s="203"/>
      <c r="K5" s="172" t="s">
        <v>144</v>
      </c>
    </row>
    <row r="6" spans="1:11" s="6" customFormat="1" ht="23.25" customHeight="1" x14ac:dyDescent="0.35">
      <c r="A6" s="180"/>
      <c r="B6" s="181"/>
      <c r="C6" s="181"/>
      <c r="D6" s="181"/>
      <c r="E6" s="181"/>
      <c r="F6" s="182"/>
      <c r="G6" s="173"/>
      <c r="H6" s="200" t="s">
        <v>153</v>
      </c>
      <c r="I6" s="182" t="s">
        <v>154</v>
      </c>
      <c r="J6" s="182" t="s">
        <v>155</v>
      </c>
      <c r="K6" s="173"/>
    </row>
    <row r="7" spans="1:11" s="6" customFormat="1" ht="47.25" customHeight="1" x14ac:dyDescent="0.35">
      <c r="A7" s="180"/>
      <c r="B7" s="181"/>
      <c r="C7" s="181"/>
      <c r="D7" s="181"/>
      <c r="E7" s="181"/>
      <c r="F7" s="182"/>
      <c r="G7" s="174"/>
      <c r="H7" s="200"/>
      <c r="I7" s="182"/>
      <c r="J7" s="182"/>
      <c r="K7" s="174"/>
    </row>
    <row r="8" spans="1:11" s="7" customFormat="1" ht="18" customHeight="1" x14ac:dyDescent="0.35">
      <c r="A8" s="97">
        <v>1</v>
      </c>
      <c r="B8" s="175">
        <v>2</v>
      </c>
      <c r="C8" s="175"/>
      <c r="D8" s="175"/>
      <c r="E8" s="175"/>
      <c r="F8" s="98">
        <v>3</v>
      </c>
      <c r="G8" s="98">
        <v>4</v>
      </c>
      <c r="H8" s="95">
        <v>5</v>
      </c>
      <c r="I8" s="98">
        <v>6</v>
      </c>
      <c r="J8" s="98">
        <v>7</v>
      </c>
      <c r="K8" s="98">
        <v>8</v>
      </c>
    </row>
    <row r="9" spans="1:11" s="7" customFormat="1" ht="135" customHeight="1" x14ac:dyDescent="0.35">
      <c r="A9" s="99" t="s">
        <v>68</v>
      </c>
      <c r="B9" s="176" t="s">
        <v>10</v>
      </c>
      <c r="C9" s="176"/>
      <c r="D9" s="176"/>
      <c r="E9" s="176"/>
      <c r="F9" s="101">
        <f t="shared" ref="F9:F10" si="0">SUM(F10)</f>
        <v>2220372180</v>
      </c>
      <c r="G9" s="101" t="s">
        <v>132</v>
      </c>
      <c r="H9" s="158">
        <v>32.79</v>
      </c>
      <c r="I9" s="100"/>
      <c r="J9" s="100"/>
      <c r="K9" s="100"/>
    </row>
    <row r="10" spans="1:11" s="7" customFormat="1" ht="135" customHeight="1" x14ac:dyDescent="0.35">
      <c r="A10" s="99"/>
      <c r="B10" s="176" t="s">
        <v>52</v>
      </c>
      <c r="C10" s="176"/>
      <c r="D10" s="176"/>
      <c r="E10" s="176"/>
      <c r="F10" s="101">
        <f t="shared" si="0"/>
        <v>2220372180</v>
      </c>
      <c r="G10" s="101" t="s">
        <v>132</v>
      </c>
      <c r="H10" s="158">
        <v>32.79</v>
      </c>
      <c r="I10" s="100"/>
      <c r="J10" s="100"/>
      <c r="K10" s="100"/>
    </row>
    <row r="11" spans="1:11" s="7" customFormat="1" ht="135" customHeight="1" x14ac:dyDescent="0.35">
      <c r="A11" s="97"/>
      <c r="B11" s="123"/>
      <c r="C11" s="176" t="s">
        <v>53</v>
      </c>
      <c r="D11" s="183"/>
      <c r="E11" s="183"/>
      <c r="F11" s="101">
        <f t="shared" ref="F11" si="1">SUM(F12+F14+F16+F18+F20+F22)</f>
        <v>2220372180</v>
      </c>
      <c r="G11" s="101" t="s">
        <v>132</v>
      </c>
      <c r="H11" s="158">
        <v>32.79</v>
      </c>
      <c r="I11" s="100"/>
      <c r="J11" s="100"/>
      <c r="K11" s="100"/>
    </row>
    <row r="12" spans="1:11" s="7" customFormat="1" ht="135" customHeight="1" x14ac:dyDescent="0.35">
      <c r="A12" s="97"/>
      <c r="B12" s="123"/>
      <c r="C12" s="123"/>
      <c r="D12" s="176" t="s">
        <v>54</v>
      </c>
      <c r="E12" s="176"/>
      <c r="F12" s="101">
        <f t="shared" ref="F12" si="2">SUM(F13)</f>
        <v>1331270000</v>
      </c>
      <c r="G12" s="101" t="s">
        <v>132</v>
      </c>
      <c r="H12" s="158">
        <v>39.729999999999997</v>
      </c>
      <c r="I12" s="100"/>
      <c r="J12" s="100"/>
      <c r="K12" s="100"/>
    </row>
    <row r="13" spans="1:11" s="7" customFormat="1" ht="135" customHeight="1" x14ac:dyDescent="0.35">
      <c r="A13" s="97"/>
      <c r="B13" s="123"/>
      <c r="C13" s="123"/>
      <c r="D13" s="124"/>
      <c r="E13" s="124" t="s">
        <v>12</v>
      </c>
      <c r="F13" s="118">
        <v>1331270000</v>
      </c>
      <c r="G13" s="101" t="s">
        <v>132</v>
      </c>
      <c r="H13" s="158">
        <v>39.729999999999997</v>
      </c>
      <c r="I13" s="100"/>
      <c r="J13" s="100"/>
      <c r="K13" s="100"/>
    </row>
    <row r="14" spans="1:11" s="7" customFormat="1" ht="135" customHeight="1" x14ac:dyDescent="0.35">
      <c r="A14" s="97"/>
      <c r="B14" s="123"/>
      <c r="C14" s="123"/>
      <c r="D14" s="176" t="s">
        <v>55</v>
      </c>
      <c r="E14" s="176"/>
      <c r="F14" s="101">
        <f t="shared" ref="F14" si="3">SUM(F15)</f>
        <v>544500000</v>
      </c>
      <c r="G14" s="101" t="s">
        <v>132</v>
      </c>
      <c r="H14" s="158">
        <v>7.8</v>
      </c>
      <c r="I14" s="100"/>
      <c r="J14" s="100"/>
      <c r="K14" s="100"/>
    </row>
    <row r="15" spans="1:11" s="7" customFormat="1" ht="135" customHeight="1" x14ac:dyDescent="0.35">
      <c r="A15" s="97"/>
      <c r="B15" s="123"/>
      <c r="C15" s="123"/>
      <c r="D15" s="124"/>
      <c r="E15" s="124" t="s">
        <v>56</v>
      </c>
      <c r="F15" s="118">
        <v>544500000</v>
      </c>
      <c r="G15" s="101" t="s">
        <v>132</v>
      </c>
      <c r="H15" s="158">
        <v>7.8</v>
      </c>
      <c r="I15" s="100"/>
      <c r="J15" s="100"/>
      <c r="K15" s="100"/>
    </row>
    <row r="16" spans="1:11" s="7" customFormat="1" ht="135" customHeight="1" x14ac:dyDescent="0.35">
      <c r="A16" s="97"/>
      <c r="B16" s="123"/>
      <c r="C16" s="123"/>
      <c r="D16" s="124"/>
      <c r="E16" s="125" t="s">
        <v>57</v>
      </c>
      <c r="F16" s="101">
        <f>SUM(F17)</f>
        <v>12000000</v>
      </c>
      <c r="G16" s="101" t="s">
        <v>132</v>
      </c>
      <c r="H16" s="158">
        <v>100</v>
      </c>
      <c r="I16" s="100"/>
      <c r="J16" s="100"/>
      <c r="K16" s="100"/>
    </row>
    <row r="17" spans="1:11" s="7" customFormat="1" ht="135" customHeight="1" x14ac:dyDescent="0.35">
      <c r="A17" s="97"/>
      <c r="B17" s="123"/>
      <c r="C17" s="123"/>
      <c r="D17" s="184" t="s">
        <v>58</v>
      </c>
      <c r="E17" s="184"/>
      <c r="F17" s="118">
        <v>12000000</v>
      </c>
      <c r="G17" s="101" t="s">
        <v>132</v>
      </c>
      <c r="H17" s="158">
        <v>100</v>
      </c>
      <c r="I17" s="100"/>
      <c r="J17" s="100"/>
      <c r="K17" s="100"/>
    </row>
    <row r="18" spans="1:11" s="7" customFormat="1" ht="135" customHeight="1" x14ac:dyDescent="0.35">
      <c r="A18" s="97"/>
      <c r="B18" s="123"/>
      <c r="C18" s="123"/>
      <c r="D18" s="124"/>
      <c r="E18" s="125" t="s">
        <v>13</v>
      </c>
      <c r="F18" s="101">
        <f>SUM(F19)</f>
        <v>195602180</v>
      </c>
      <c r="G18" s="101" t="s">
        <v>132</v>
      </c>
      <c r="H18" s="158">
        <v>18.5</v>
      </c>
      <c r="I18" s="100"/>
      <c r="J18" s="100"/>
      <c r="K18" s="100"/>
    </row>
    <row r="19" spans="1:11" s="7" customFormat="1" ht="135" customHeight="1" x14ac:dyDescent="0.35">
      <c r="A19" s="97"/>
      <c r="B19" s="123"/>
      <c r="C19" s="123"/>
      <c r="D19" s="124"/>
      <c r="E19" s="124" t="s">
        <v>59</v>
      </c>
      <c r="F19" s="118">
        <v>195602180</v>
      </c>
      <c r="G19" s="101" t="s">
        <v>132</v>
      </c>
      <c r="H19" s="158">
        <v>18.5</v>
      </c>
      <c r="I19" s="100"/>
      <c r="J19" s="100"/>
      <c r="K19" s="100"/>
    </row>
    <row r="20" spans="1:11" s="7" customFormat="1" ht="135" customHeight="1" x14ac:dyDescent="0.35">
      <c r="A20" s="97"/>
      <c r="B20" s="123"/>
      <c r="C20" s="123"/>
      <c r="D20" s="124"/>
      <c r="E20" s="124" t="s">
        <v>157</v>
      </c>
      <c r="F20" s="101">
        <f>SUM(F21)</f>
        <v>100000000</v>
      </c>
      <c r="G20" s="101" t="s">
        <v>132</v>
      </c>
      <c r="H20" s="158">
        <v>100</v>
      </c>
      <c r="I20" s="100"/>
      <c r="J20" s="100"/>
      <c r="K20" s="100"/>
    </row>
    <row r="21" spans="1:11" s="7" customFormat="1" ht="135" customHeight="1" x14ac:dyDescent="0.35">
      <c r="A21" s="97"/>
      <c r="B21" s="123"/>
      <c r="C21" s="123"/>
      <c r="D21" s="124"/>
      <c r="E21" s="124" t="s">
        <v>61</v>
      </c>
      <c r="F21" s="118">
        <v>100000000</v>
      </c>
      <c r="G21" s="101" t="s">
        <v>132</v>
      </c>
      <c r="H21" s="158">
        <v>100</v>
      </c>
      <c r="I21" s="100"/>
      <c r="J21" s="100"/>
      <c r="K21" s="100"/>
    </row>
    <row r="22" spans="1:11" s="7" customFormat="1" ht="135" customHeight="1" x14ac:dyDescent="0.35">
      <c r="A22" s="97"/>
      <c r="B22" s="123"/>
      <c r="C22" s="123"/>
      <c r="D22" s="124"/>
      <c r="E22" s="125" t="s">
        <v>14</v>
      </c>
      <c r="F22" s="101">
        <f t="shared" ref="F22" si="4">SUM(F23)</f>
        <v>37000000</v>
      </c>
      <c r="G22" s="101" t="s">
        <v>132</v>
      </c>
      <c r="H22" s="158">
        <v>23.11</v>
      </c>
      <c r="I22" s="100"/>
      <c r="J22" s="100"/>
      <c r="K22" s="100"/>
    </row>
    <row r="23" spans="1:11" s="7" customFormat="1" ht="135" customHeight="1" x14ac:dyDescent="0.35">
      <c r="A23" s="97"/>
      <c r="B23" s="123"/>
      <c r="C23" s="123"/>
      <c r="D23" s="124"/>
      <c r="E23" s="124" t="s">
        <v>62</v>
      </c>
      <c r="F23" s="118">
        <v>37000000</v>
      </c>
      <c r="G23" s="101" t="s">
        <v>132</v>
      </c>
      <c r="H23" s="158">
        <v>23.11</v>
      </c>
      <c r="I23" s="100"/>
      <c r="J23" s="100"/>
      <c r="K23" s="100"/>
    </row>
    <row r="24" spans="1:11" s="7" customFormat="1" ht="135" customHeight="1" x14ac:dyDescent="0.35">
      <c r="A24" s="97" t="s">
        <v>69</v>
      </c>
      <c r="B24" s="171" t="s">
        <v>67</v>
      </c>
      <c r="C24" s="171"/>
      <c r="D24" s="171"/>
      <c r="E24" s="171"/>
      <c r="F24" s="101">
        <f t="shared" ref="F24" si="5">F25+F47</f>
        <v>24490093655</v>
      </c>
      <c r="G24" s="101" t="s">
        <v>132</v>
      </c>
      <c r="H24" s="158">
        <v>100</v>
      </c>
      <c r="I24" s="100"/>
      <c r="J24" s="100"/>
      <c r="K24" s="100"/>
    </row>
    <row r="25" spans="1:11" s="7" customFormat="1" ht="135" customHeight="1" x14ac:dyDescent="0.35">
      <c r="A25" s="103" t="s">
        <v>3</v>
      </c>
      <c r="B25" s="171" t="s">
        <v>18</v>
      </c>
      <c r="C25" s="171"/>
      <c r="D25" s="171"/>
      <c r="E25" s="171"/>
      <c r="F25" s="132">
        <f>F26</f>
        <v>5089244255</v>
      </c>
      <c r="G25" s="101" t="s">
        <v>132</v>
      </c>
      <c r="H25" s="158">
        <v>100</v>
      </c>
      <c r="I25" s="100"/>
      <c r="J25" s="100"/>
      <c r="K25" s="100"/>
    </row>
    <row r="26" spans="1:11" s="7" customFormat="1" ht="135" customHeight="1" x14ac:dyDescent="0.35">
      <c r="A26" s="136"/>
      <c r="B26" s="104"/>
      <c r="C26" s="171" t="s">
        <v>19</v>
      </c>
      <c r="D26" s="171"/>
      <c r="E26" s="171"/>
      <c r="F26" s="132">
        <f t="shared" ref="F26" si="6">F27+F37+F40</f>
        <v>5089244255</v>
      </c>
      <c r="G26" s="101" t="s">
        <v>132</v>
      </c>
      <c r="H26" s="158">
        <v>100</v>
      </c>
      <c r="I26" s="100"/>
      <c r="J26" s="100"/>
      <c r="K26" s="100"/>
    </row>
    <row r="27" spans="1:11" s="7" customFormat="1" ht="135" customHeight="1" x14ac:dyDescent="0.35">
      <c r="A27" s="136"/>
      <c r="B27" s="104"/>
      <c r="C27" s="104"/>
      <c r="D27" s="171" t="s">
        <v>63</v>
      </c>
      <c r="E27" s="171"/>
      <c r="F27" s="117">
        <f t="shared" ref="F27" si="7">SUM(F28:F36)</f>
        <v>2532113646</v>
      </c>
      <c r="G27" s="101" t="s">
        <v>132</v>
      </c>
      <c r="H27" s="158">
        <v>100</v>
      </c>
      <c r="I27" s="100"/>
      <c r="J27" s="100"/>
      <c r="K27" s="100"/>
    </row>
    <row r="28" spans="1:11" s="7" customFormat="1" ht="135" customHeight="1" x14ac:dyDescent="0.35">
      <c r="A28" s="136"/>
      <c r="B28" s="104"/>
      <c r="C28" s="104"/>
      <c r="D28" s="104"/>
      <c r="E28" s="105" t="s">
        <v>20</v>
      </c>
      <c r="F28" s="134">
        <v>1907991806</v>
      </c>
      <c r="G28" s="101" t="s">
        <v>132</v>
      </c>
      <c r="H28" s="158">
        <v>100</v>
      </c>
      <c r="I28" s="100"/>
      <c r="J28" s="100"/>
      <c r="K28" s="100"/>
    </row>
    <row r="29" spans="1:11" s="7" customFormat="1" ht="135" customHeight="1" x14ac:dyDescent="0.35">
      <c r="A29" s="136"/>
      <c r="B29" s="104"/>
      <c r="C29" s="104"/>
      <c r="D29" s="104"/>
      <c r="E29" s="105" t="s">
        <v>21</v>
      </c>
      <c r="F29" s="134">
        <v>187399247</v>
      </c>
      <c r="G29" s="101" t="s">
        <v>132</v>
      </c>
      <c r="H29" s="158">
        <v>100</v>
      </c>
      <c r="I29" s="100"/>
      <c r="J29" s="100"/>
      <c r="K29" s="100"/>
    </row>
    <row r="30" spans="1:11" s="7" customFormat="1" ht="135" customHeight="1" x14ac:dyDescent="0.35">
      <c r="A30" s="136"/>
      <c r="B30" s="104"/>
      <c r="C30" s="104"/>
      <c r="D30" s="104"/>
      <c r="E30" s="105" t="s">
        <v>22</v>
      </c>
      <c r="F30" s="134">
        <v>246358750</v>
      </c>
      <c r="G30" s="101" t="s">
        <v>132</v>
      </c>
      <c r="H30" s="158">
        <v>100</v>
      </c>
      <c r="I30" s="100"/>
      <c r="J30" s="100"/>
      <c r="K30" s="100"/>
    </row>
    <row r="31" spans="1:11" s="4" customFormat="1" ht="135" customHeight="1" x14ac:dyDescent="0.35">
      <c r="A31" s="136"/>
      <c r="B31" s="104"/>
      <c r="C31" s="104"/>
      <c r="D31" s="104"/>
      <c r="E31" s="105" t="s">
        <v>23</v>
      </c>
      <c r="F31" s="134">
        <v>29971000</v>
      </c>
      <c r="G31" s="101" t="s">
        <v>132</v>
      </c>
      <c r="H31" s="159">
        <v>100</v>
      </c>
      <c r="I31" s="100"/>
      <c r="J31" s="100"/>
      <c r="K31" s="100"/>
    </row>
    <row r="32" spans="1:11" s="4" customFormat="1" ht="135" customHeight="1" x14ac:dyDescent="0.35">
      <c r="A32" s="136"/>
      <c r="B32" s="104"/>
      <c r="C32" s="104"/>
      <c r="D32" s="104"/>
      <c r="E32" s="105" t="s">
        <v>24</v>
      </c>
      <c r="F32" s="134">
        <v>87517760</v>
      </c>
      <c r="G32" s="101" t="s">
        <v>132</v>
      </c>
      <c r="H32" s="159">
        <v>100</v>
      </c>
      <c r="I32" s="100"/>
      <c r="J32" s="100"/>
      <c r="K32" s="100"/>
    </row>
    <row r="33" spans="1:11" s="4" customFormat="1" ht="135" customHeight="1" x14ac:dyDescent="0.35">
      <c r="A33" s="136"/>
      <c r="B33" s="104"/>
      <c r="C33" s="104"/>
      <c r="D33" s="104"/>
      <c r="E33" s="105" t="s">
        <v>25</v>
      </c>
      <c r="F33" s="134">
        <v>4008830</v>
      </c>
      <c r="G33" s="101" t="s">
        <v>132</v>
      </c>
      <c r="H33" s="159">
        <v>100</v>
      </c>
      <c r="I33" s="100"/>
      <c r="J33" s="100"/>
      <c r="K33" s="100"/>
    </row>
    <row r="34" spans="1:11" s="4" customFormat="1" ht="135" customHeight="1" x14ac:dyDescent="0.35">
      <c r="A34" s="136"/>
      <c r="B34" s="104"/>
      <c r="C34" s="104"/>
      <c r="D34" s="104"/>
      <c r="E34" s="105" t="s">
        <v>26</v>
      </c>
      <c r="F34" s="134">
        <v>24872</v>
      </c>
      <c r="G34" s="101" t="s">
        <v>132</v>
      </c>
      <c r="H34" s="159">
        <v>100</v>
      </c>
      <c r="I34" s="100"/>
      <c r="J34" s="100"/>
      <c r="K34" s="100"/>
    </row>
    <row r="35" spans="1:11" s="4" customFormat="1" ht="135" customHeight="1" x14ac:dyDescent="0.35">
      <c r="A35" s="136"/>
      <c r="B35" s="104"/>
      <c r="C35" s="104"/>
      <c r="D35" s="104"/>
      <c r="E35" s="105" t="s">
        <v>64</v>
      </c>
      <c r="F35" s="134">
        <v>53304787</v>
      </c>
      <c r="G35" s="101" t="s">
        <v>132</v>
      </c>
      <c r="H35" s="159">
        <v>100</v>
      </c>
      <c r="I35" s="100"/>
      <c r="J35" s="100"/>
      <c r="K35" s="100"/>
    </row>
    <row r="36" spans="1:11" s="4" customFormat="1" ht="135" customHeight="1" x14ac:dyDescent="0.35">
      <c r="A36" s="136"/>
      <c r="B36" s="104"/>
      <c r="C36" s="104"/>
      <c r="D36" s="104"/>
      <c r="E36" s="105" t="s">
        <v>43</v>
      </c>
      <c r="F36" s="134">
        <v>15536594</v>
      </c>
      <c r="G36" s="101" t="s">
        <v>132</v>
      </c>
      <c r="H36" s="159">
        <v>100</v>
      </c>
      <c r="I36" s="100"/>
      <c r="J36" s="100"/>
      <c r="K36" s="100"/>
    </row>
    <row r="37" spans="1:11" s="4" customFormat="1" ht="135" customHeight="1" x14ac:dyDescent="0.35">
      <c r="A37" s="136"/>
      <c r="B37" s="104"/>
      <c r="C37" s="104"/>
      <c r="D37" s="171" t="s">
        <v>27</v>
      </c>
      <c r="E37" s="171"/>
      <c r="F37" s="117">
        <f t="shared" ref="F37" si="8">SUM(F38:F39)</f>
        <v>2446112000</v>
      </c>
      <c r="G37" s="101" t="s">
        <v>132</v>
      </c>
      <c r="H37" s="159">
        <v>100</v>
      </c>
      <c r="I37" s="100"/>
      <c r="J37" s="100"/>
      <c r="K37" s="100"/>
    </row>
    <row r="38" spans="1:11" s="4" customFormat="1" ht="135" customHeight="1" x14ac:dyDescent="0.35">
      <c r="A38" s="136"/>
      <c r="B38" s="104"/>
      <c r="C38" s="104"/>
      <c r="D38" s="104"/>
      <c r="E38" s="105" t="s">
        <v>28</v>
      </c>
      <c r="F38" s="134">
        <v>2326012000</v>
      </c>
      <c r="G38" s="101" t="s">
        <v>132</v>
      </c>
      <c r="H38" s="159">
        <v>100</v>
      </c>
      <c r="I38" s="100"/>
      <c r="J38" s="100"/>
      <c r="K38" s="100"/>
    </row>
    <row r="39" spans="1:11" s="4" customFormat="1" ht="135" customHeight="1" x14ac:dyDescent="0.35">
      <c r="A39" s="136"/>
      <c r="B39" s="104"/>
      <c r="C39" s="104"/>
      <c r="D39" s="104"/>
      <c r="E39" s="105" t="s">
        <v>42</v>
      </c>
      <c r="F39" s="134">
        <v>120100000</v>
      </c>
      <c r="G39" s="101" t="s">
        <v>132</v>
      </c>
      <c r="H39" s="159">
        <v>100</v>
      </c>
      <c r="I39" s="100"/>
      <c r="J39" s="100"/>
      <c r="K39" s="100"/>
    </row>
    <row r="40" spans="1:11" s="4" customFormat="1" ht="135" customHeight="1" x14ac:dyDescent="0.35">
      <c r="A40" s="136"/>
      <c r="B40" s="104"/>
      <c r="C40" s="104"/>
      <c r="D40" s="171" t="s">
        <v>65</v>
      </c>
      <c r="E40" s="171"/>
      <c r="F40" s="117">
        <f>SUM(F41:F46)</f>
        <v>111018609</v>
      </c>
      <c r="G40" s="101" t="s">
        <v>132</v>
      </c>
      <c r="H40" s="159">
        <v>0</v>
      </c>
      <c r="I40" s="100"/>
      <c r="J40" s="100"/>
      <c r="K40" s="100"/>
    </row>
    <row r="41" spans="1:11" s="4" customFormat="1" ht="160.5" customHeight="1" x14ac:dyDescent="0.35">
      <c r="A41" s="136"/>
      <c r="B41" s="104"/>
      <c r="C41" s="104"/>
      <c r="D41" s="104"/>
      <c r="E41" s="105" t="s">
        <v>112</v>
      </c>
      <c r="F41" s="134">
        <v>66563500</v>
      </c>
      <c r="G41" s="101" t="s">
        <v>132</v>
      </c>
      <c r="H41" s="159">
        <v>0</v>
      </c>
      <c r="I41" s="100"/>
      <c r="J41" s="100"/>
      <c r="K41" s="100"/>
    </row>
    <row r="42" spans="1:11" s="4" customFormat="1" ht="195" customHeight="1" x14ac:dyDescent="0.35">
      <c r="A42" s="136"/>
      <c r="B42" s="104"/>
      <c r="C42" s="104"/>
      <c r="D42" s="104"/>
      <c r="E42" s="105" t="s">
        <v>113</v>
      </c>
      <c r="F42" s="134">
        <v>27225000</v>
      </c>
      <c r="G42" s="101" t="s">
        <v>132</v>
      </c>
      <c r="H42" s="159">
        <v>0</v>
      </c>
      <c r="I42" s="100"/>
      <c r="J42" s="100"/>
      <c r="K42" s="100"/>
    </row>
    <row r="43" spans="1:11" s="4" customFormat="1" ht="135" customHeight="1" x14ac:dyDescent="0.35">
      <c r="A43" s="136"/>
      <c r="B43" s="104"/>
      <c r="C43" s="104"/>
      <c r="D43" s="104"/>
      <c r="E43" s="105" t="s">
        <v>114</v>
      </c>
      <c r="F43" s="134">
        <v>600000</v>
      </c>
      <c r="G43" s="101" t="s">
        <v>132</v>
      </c>
      <c r="H43" s="159">
        <v>0</v>
      </c>
      <c r="I43" s="100"/>
      <c r="J43" s="100"/>
      <c r="K43" s="100"/>
    </row>
    <row r="44" spans="1:11" s="4" customFormat="1" ht="135" customHeight="1" x14ac:dyDescent="0.35">
      <c r="A44" s="136"/>
      <c r="B44" s="104"/>
      <c r="C44" s="104"/>
      <c r="D44" s="104"/>
      <c r="E44" s="105" t="s">
        <v>115</v>
      </c>
      <c r="F44" s="134">
        <v>9780109</v>
      </c>
      <c r="G44" s="101" t="s">
        <v>132</v>
      </c>
      <c r="H44" s="159">
        <v>0</v>
      </c>
      <c r="I44" s="100"/>
      <c r="J44" s="100"/>
      <c r="K44" s="100"/>
    </row>
    <row r="45" spans="1:11" s="4" customFormat="1" ht="135" customHeight="1" x14ac:dyDescent="0.35">
      <c r="A45" s="136"/>
      <c r="B45" s="104"/>
      <c r="C45" s="104"/>
      <c r="D45" s="104"/>
      <c r="E45" s="105" t="s">
        <v>116</v>
      </c>
      <c r="F45" s="134">
        <v>5000000</v>
      </c>
      <c r="G45" s="101" t="s">
        <v>132</v>
      </c>
      <c r="H45" s="159">
        <v>0</v>
      </c>
      <c r="I45" s="100"/>
      <c r="J45" s="100"/>
      <c r="K45" s="100"/>
    </row>
    <row r="46" spans="1:11" s="4" customFormat="1" ht="135" customHeight="1" x14ac:dyDescent="0.35">
      <c r="A46" s="136"/>
      <c r="B46" s="104"/>
      <c r="C46" s="104"/>
      <c r="D46" s="104"/>
      <c r="E46" s="105" t="s">
        <v>117</v>
      </c>
      <c r="F46" s="134">
        <v>1850000</v>
      </c>
      <c r="G46" s="101" t="s">
        <v>132</v>
      </c>
      <c r="H46" s="159">
        <v>0</v>
      </c>
      <c r="I46" s="100"/>
      <c r="J46" s="100"/>
      <c r="K46" s="100"/>
    </row>
    <row r="47" spans="1:11" s="4" customFormat="1" ht="135" customHeight="1" x14ac:dyDescent="0.35">
      <c r="A47" s="136" t="s">
        <v>70</v>
      </c>
      <c r="B47" s="171" t="s">
        <v>29</v>
      </c>
      <c r="C47" s="171"/>
      <c r="D47" s="171"/>
      <c r="E47" s="171"/>
      <c r="F47" s="133">
        <f>F48+F57+F60+F64+F74+F78+F82</f>
        <v>19400849400</v>
      </c>
      <c r="G47" s="101" t="s">
        <v>132</v>
      </c>
      <c r="H47" s="159">
        <v>100</v>
      </c>
      <c r="I47" s="100"/>
      <c r="J47" s="100"/>
      <c r="K47" s="100"/>
    </row>
    <row r="48" spans="1:11" s="4" customFormat="1" ht="135" customHeight="1" x14ac:dyDescent="0.35">
      <c r="A48" s="136" t="s">
        <v>3</v>
      </c>
      <c r="B48" s="186" t="s">
        <v>72</v>
      </c>
      <c r="C48" s="186"/>
      <c r="D48" s="186"/>
      <c r="E48" s="186"/>
      <c r="F48" s="116">
        <f>SUM(F49:F56)</f>
        <v>2961790000</v>
      </c>
      <c r="G48" s="101" t="s">
        <v>132</v>
      </c>
      <c r="H48" s="159">
        <v>100</v>
      </c>
      <c r="I48" s="100"/>
      <c r="J48" s="100"/>
      <c r="K48" s="100"/>
    </row>
    <row r="49" spans="1:15" s="4" customFormat="1" ht="135" customHeight="1" x14ac:dyDescent="0.35">
      <c r="A49" s="106"/>
      <c r="B49" s="141"/>
      <c r="C49" s="126" t="s">
        <v>30</v>
      </c>
      <c r="D49" s="185" t="s">
        <v>74</v>
      </c>
      <c r="E49" s="185"/>
      <c r="F49" s="108">
        <v>703500000</v>
      </c>
      <c r="G49" s="101" t="s">
        <v>132</v>
      </c>
      <c r="H49" s="159">
        <v>100</v>
      </c>
      <c r="I49" s="100"/>
      <c r="J49" s="100"/>
      <c r="K49" s="100"/>
    </row>
    <row r="50" spans="1:15" s="4" customFormat="1" ht="135" customHeight="1" x14ac:dyDescent="0.35">
      <c r="A50" s="106"/>
      <c r="B50" s="141"/>
      <c r="C50" s="126" t="s">
        <v>31</v>
      </c>
      <c r="D50" s="185" t="s">
        <v>73</v>
      </c>
      <c r="E50" s="185"/>
      <c r="F50" s="108">
        <v>858210000</v>
      </c>
      <c r="G50" s="101" t="s">
        <v>132</v>
      </c>
      <c r="H50" s="159">
        <v>100</v>
      </c>
      <c r="I50" s="100"/>
      <c r="J50" s="100"/>
      <c r="K50" s="100"/>
    </row>
    <row r="51" spans="1:15" s="9" customFormat="1" ht="135" customHeight="1" x14ac:dyDescent="0.35">
      <c r="A51" s="107"/>
      <c r="B51" s="141"/>
      <c r="C51" s="126" t="s">
        <v>32</v>
      </c>
      <c r="D51" s="185" t="s">
        <v>75</v>
      </c>
      <c r="E51" s="185"/>
      <c r="F51" s="108">
        <v>530000000</v>
      </c>
      <c r="G51" s="101" t="s">
        <v>132</v>
      </c>
      <c r="H51" s="159">
        <v>100</v>
      </c>
      <c r="I51" s="100"/>
      <c r="J51" s="100"/>
      <c r="K51" s="100"/>
    </row>
    <row r="52" spans="1:15" s="13" customFormat="1" ht="135" customHeight="1" x14ac:dyDescent="0.35">
      <c r="A52" s="107"/>
      <c r="B52" s="141"/>
      <c r="C52" s="126" t="s">
        <v>33</v>
      </c>
      <c r="D52" s="187" t="s">
        <v>76</v>
      </c>
      <c r="E52" s="188"/>
      <c r="F52" s="108">
        <v>318790000</v>
      </c>
      <c r="G52" s="101" t="s">
        <v>132</v>
      </c>
      <c r="H52" s="156">
        <v>100</v>
      </c>
      <c r="I52" s="100"/>
      <c r="J52" s="100"/>
      <c r="K52" s="100"/>
    </row>
    <row r="53" spans="1:15" s="4" customFormat="1" ht="135" customHeight="1" x14ac:dyDescent="0.35">
      <c r="A53" s="107"/>
      <c r="B53" s="141"/>
      <c r="C53" s="126" t="s">
        <v>34</v>
      </c>
      <c r="D53" s="185" t="s">
        <v>77</v>
      </c>
      <c r="E53" s="185"/>
      <c r="F53" s="135">
        <v>97000000</v>
      </c>
      <c r="G53" s="101" t="s">
        <v>132</v>
      </c>
      <c r="H53" s="159">
        <v>100</v>
      </c>
      <c r="I53" s="100"/>
      <c r="J53" s="100"/>
      <c r="K53" s="100"/>
    </row>
    <row r="54" spans="1:15" s="4" customFormat="1" ht="135" customHeight="1" x14ac:dyDescent="0.35">
      <c r="A54" s="107"/>
      <c r="B54" s="141"/>
      <c r="C54" s="126" t="s">
        <v>35</v>
      </c>
      <c r="D54" s="185" t="s">
        <v>50</v>
      </c>
      <c r="E54" s="185"/>
      <c r="F54" s="108">
        <v>38500000</v>
      </c>
      <c r="G54" s="101" t="s">
        <v>132</v>
      </c>
      <c r="H54" s="159">
        <v>100</v>
      </c>
      <c r="I54" s="100"/>
      <c r="J54" s="100"/>
      <c r="K54" s="100"/>
    </row>
    <row r="55" spans="1:15" s="4" customFormat="1" ht="135" customHeight="1" x14ac:dyDescent="0.35">
      <c r="A55" s="107"/>
      <c r="B55" s="141"/>
      <c r="C55" s="126" t="s">
        <v>36</v>
      </c>
      <c r="D55" s="185" t="s">
        <v>78</v>
      </c>
      <c r="E55" s="185"/>
      <c r="F55" s="108">
        <v>50000000</v>
      </c>
      <c r="G55" s="101" t="s">
        <v>132</v>
      </c>
      <c r="H55" s="159">
        <v>100</v>
      </c>
      <c r="I55" s="100"/>
      <c r="J55" s="100"/>
      <c r="K55" s="100"/>
    </row>
    <row r="56" spans="1:15" s="4" customFormat="1" ht="135" customHeight="1" x14ac:dyDescent="0.35">
      <c r="A56" s="107"/>
      <c r="B56" s="141"/>
      <c r="C56" s="126" t="s">
        <v>37</v>
      </c>
      <c r="D56" s="185" t="s">
        <v>79</v>
      </c>
      <c r="E56" s="185"/>
      <c r="F56" s="108">
        <v>365790000</v>
      </c>
      <c r="G56" s="101" t="s">
        <v>132</v>
      </c>
      <c r="H56" s="159">
        <v>100</v>
      </c>
      <c r="I56" s="100"/>
      <c r="J56" s="100"/>
      <c r="K56" s="100"/>
    </row>
    <row r="57" spans="1:15" s="6" customFormat="1" ht="135" customHeight="1" x14ac:dyDescent="0.35">
      <c r="A57" s="109" t="s">
        <v>17</v>
      </c>
      <c r="B57" s="186" t="s">
        <v>80</v>
      </c>
      <c r="C57" s="186"/>
      <c r="D57" s="186"/>
      <c r="E57" s="186"/>
      <c r="F57" s="117">
        <f>SUM(F58:F59)</f>
        <v>55110000</v>
      </c>
      <c r="G57" s="101" t="s">
        <v>132</v>
      </c>
      <c r="H57" s="156">
        <v>100</v>
      </c>
      <c r="I57" s="100"/>
      <c r="J57" s="100"/>
      <c r="K57" s="100"/>
      <c r="L57" s="12"/>
      <c r="M57" s="12"/>
      <c r="N57" s="12"/>
      <c r="O57" s="12"/>
    </row>
    <row r="58" spans="1:15" s="6" customFormat="1" ht="135" customHeight="1" x14ac:dyDescent="0.35">
      <c r="A58" s="107"/>
      <c r="B58" s="110"/>
      <c r="C58" s="126" t="s">
        <v>30</v>
      </c>
      <c r="D58" s="191" t="s">
        <v>81</v>
      </c>
      <c r="E58" s="191"/>
      <c r="F58" s="137">
        <v>25000000</v>
      </c>
      <c r="G58" s="101" t="s">
        <v>132</v>
      </c>
      <c r="H58" s="156">
        <v>100</v>
      </c>
      <c r="I58" s="100"/>
      <c r="J58" s="100"/>
      <c r="K58" s="100"/>
      <c r="L58" s="12"/>
      <c r="M58" s="12"/>
      <c r="N58" s="12"/>
      <c r="O58" s="12"/>
    </row>
    <row r="59" spans="1:15" s="6" customFormat="1" ht="135" customHeight="1" x14ac:dyDescent="0.35">
      <c r="A59" s="109"/>
      <c r="B59" s="110"/>
      <c r="C59" s="126" t="s">
        <v>31</v>
      </c>
      <c r="D59" s="191" t="s">
        <v>82</v>
      </c>
      <c r="E59" s="191"/>
      <c r="F59" s="108">
        <v>30110000</v>
      </c>
      <c r="G59" s="101" t="s">
        <v>132</v>
      </c>
      <c r="H59" s="156">
        <v>100</v>
      </c>
      <c r="I59" s="100"/>
      <c r="J59" s="100"/>
      <c r="K59" s="100"/>
      <c r="L59" s="12"/>
      <c r="M59" s="12"/>
      <c r="N59" s="12"/>
      <c r="O59" s="12"/>
    </row>
    <row r="60" spans="1:15" s="6" customFormat="1" ht="135" customHeight="1" x14ac:dyDescent="0.35">
      <c r="A60" s="109" t="s">
        <v>39</v>
      </c>
      <c r="B60" s="141"/>
      <c r="C60" s="186" t="s">
        <v>83</v>
      </c>
      <c r="D60" s="186"/>
      <c r="E60" s="186"/>
      <c r="F60" s="116">
        <f>SUM(F61:F63)</f>
        <v>182100000</v>
      </c>
      <c r="G60" s="101" t="s">
        <v>132</v>
      </c>
      <c r="H60" s="156">
        <v>100</v>
      </c>
      <c r="I60" s="100"/>
      <c r="J60" s="100"/>
      <c r="K60" s="100"/>
      <c r="L60" s="12"/>
      <c r="M60" s="12"/>
      <c r="N60" s="12"/>
      <c r="O60" s="12"/>
    </row>
    <row r="61" spans="1:15" s="6" customFormat="1" ht="135" customHeight="1" x14ac:dyDescent="0.35">
      <c r="A61" s="109"/>
      <c r="B61" s="141"/>
      <c r="C61" s="127" t="s">
        <v>30</v>
      </c>
      <c r="D61" s="185" t="s">
        <v>84</v>
      </c>
      <c r="E61" s="185"/>
      <c r="F61" s="138">
        <v>52100000</v>
      </c>
      <c r="G61" s="101" t="s">
        <v>132</v>
      </c>
      <c r="H61" s="156">
        <v>100</v>
      </c>
      <c r="I61" s="100"/>
      <c r="J61" s="100"/>
      <c r="K61" s="100"/>
      <c r="L61" s="12"/>
      <c r="M61" s="12"/>
      <c r="N61" s="12"/>
      <c r="O61" s="12"/>
    </row>
    <row r="62" spans="1:15" s="6" customFormat="1" ht="135" customHeight="1" x14ac:dyDescent="0.35">
      <c r="A62" s="109"/>
      <c r="B62" s="141"/>
      <c r="C62" s="127" t="s">
        <v>31</v>
      </c>
      <c r="D62" s="185" t="s">
        <v>85</v>
      </c>
      <c r="E62" s="185"/>
      <c r="F62" s="138">
        <v>50000000</v>
      </c>
      <c r="G62" s="101" t="s">
        <v>132</v>
      </c>
      <c r="H62" s="156">
        <v>100</v>
      </c>
      <c r="I62" s="100"/>
      <c r="J62" s="100"/>
      <c r="K62" s="100"/>
      <c r="L62" s="12"/>
      <c r="M62" s="12"/>
      <c r="N62" s="12"/>
      <c r="O62" s="12"/>
    </row>
    <row r="63" spans="1:15" s="6" customFormat="1" ht="135" customHeight="1" x14ac:dyDescent="0.35">
      <c r="A63" s="107"/>
      <c r="B63" s="141"/>
      <c r="C63" s="127" t="s">
        <v>32</v>
      </c>
      <c r="D63" s="185" t="s">
        <v>86</v>
      </c>
      <c r="E63" s="185"/>
      <c r="F63" s="138">
        <v>80000000</v>
      </c>
      <c r="G63" s="101" t="s">
        <v>132</v>
      </c>
      <c r="H63" s="156">
        <v>100</v>
      </c>
      <c r="I63" s="100"/>
      <c r="J63" s="100"/>
      <c r="K63" s="100"/>
      <c r="L63" s="12"/>
      <c r="M63" s="12"/>
      <c r="N63" s="12"/>
      <c r="O63" s="12"/>
    </row>
    <row r="64" spans="1:15" s="4" customFormat="1" ht="135" customHeight="1" x14ac:dyDescent="0.35">
      <c r="A64" s="111" t="s">
        <v>40</v>
      </c>
      <c r="B64" s="192" t="s">
        <v>87</v>
      </c>
      <c r="C64" s="193"/>
      <c r="D64" s="193"/>
      <c r="E64" s="194"/>
      <c r="F64" s="116">
        <f>SUM(F65:F73)</f>
        <v>5425738400</v>
      </c>
      <c r="G64" s="101" t="s">
        <v>132</v>
      </c>
      <c r="H64" s="156">
        <v>100</v>
      </c>
      <c r="I64" s="100"/>
      <c r="J64" s="100"/>
      <c r="K64" s="100"/>
      <c r="L64" s="13"/>
      <c r="M64" s="13"/>
      <c r="N64" s="13"/>
      <c r="O64" s="13"/>
    </row>
    <row r="65" spans="1:15" s="4" customFormat="1" ht="135" customHeight="1" x14ac:dyDescent="0.35">
      <c r="A65" s="111"/>
      <c r="B65" s="110"/>
      <c r="C65" s="129" t="s">
        <v>30</v>
      </c>
      <c r="D65" s="189" t="s">
        <v>88</v>
      </c>
      <c r="E65" s="190"/>
      <c r="F65" s="112">
        <v>925000000</v>
      </c>
      <c r="G65" s="101" t="s">
        <v>132</v>
      </c>
      <c r="H65" s="156">
        <v>100</v>
      </c>
      <c r="I65" s="100"/>
      <c r="J65" s="100"/>
      <c r="K65" s="100"/>
      <c r="L65" s="13"/>
      <c r="M65" s="13"/>
      <c r="N65" s="13"/>
      <c r="O65" s="13"/>
    </row>
    <row r="66" spans="1:15" s="4" customFormat="1" ht="135" customHeight="1" x14ac:dyDescent="0.35">
      <c r="A66" s="111"/>
      <c r="B66" s="113"/>
      <c r="C66" s="126" t="s">
        <v>31</v>
      </c>
      <c r="D66" s="189" t="s">
        <v>89</v>
      </c>
      <c r="E66" s="190"/>
      <c r="F66" s="108">
        <v>509795000</v>
      </c>
      <c r="G66" s="101" t="s">
        <v>132</v>
      </c>
      <c r="H66" s="156">
        <v>100</v>
      </c>
      <c r="I66" s="100"/>
      <c r="J66" s="100"/>
      <c r="K66" s="100"/>
      <c r="L66" s="13"/>
      <c r="M66" s="13"/>
      <c r="N66" s="13"/>
      <c r="O66" s="13"/>
    </row>
    <row r="67" spans="1:15" s="4" customFormat="1" ht="135" customHeight="1" x14ac:dyDescent="0.35">
      <c r="A67" s="111"/>
      <c r="B67" s="113"/>
      <c r="C67" s="126" t="s">
        <v>32</v>
      </c>
      <c r="D67" s="189" t="s">
        <v>90</v>
      </c>
      <c r="E67" s="190"/>
      <c r="F67" s="108">
        <v>100000000</v>
      </c>
      <c r="G67" s="101" t="s">
        <v>132</v>
      </c>
      <c r="H67" s="156">
        <v>100</v>
      </c>
      <c r="I67" s="100"/>
      <c r="J67" s="100"/>
      <c r="K67" s="100"/>
      <c r="L67" s="13"/>
      <c r="M67" s="13"/>
      <c r="N67" s="13"/>
      <c r="O67" s="13"/>
    </row>
    <row r="68" spans="1:15" s="4" customFormat="1" ht="135" customHeight="1" x14ac:dyDescent="0.35">
      <c r="A68" s="111"/>
      <c r="B68" s="113"/>
      <c r="C68" s="126" t="s">
        <v>33</v>
      </c>
      <c r="D68" s="189" t="s">
        <v>91</v>
      </c>
      <c r="E68" s="190"/>
      <c r="F68" s="108">
        <v>250000000</v>
      </c>
      <c r="G68" s="101" t="s">
        <v>132</v>
      </c>
      <c r="H68" s="156">
        <v>100</v>
      </c>
      <c r="I68" s="100"/>
      <c r="J68" s="100"/>
      <c r="K68" s="100"/>
      <c r="L68" s="13"/>
      <c r="M68" s="13"/>
      <c r="N68" s="13"/>
      <c r="O68" s="13"/>
    </row>
    <row r="69" spans="1:15" s="4" customFormat="1" ht="135" customHeight="1" x14ac:dyDescent="0.35">
      <c r="A69" s="111"/>
      <c r="B69" s="113"/>
      <c r="C69" s="126" t="s">
        <v>34</v>
      </c>
      <c r="D69" s="189" t="s">
        <v>92</v>
      </c>
      <c r="E69" s="190"/>
      <c r="F69" s="108">
        <v>2254800000</v>
      </c>
      <c r="G69" s="101" t="s">
        <v>132</v>
      </c>
      <c r="H69" s="156">
        <v>100</v>
      </c>
      <c r="I69" s="100"/>
      <c r="J69" s="100"/>
      <c r="K69" s="100"/>
      <c r="L69" s="13"/>
      <c r="M69" s="13"/>
      <c r="N69" s="13"/>
      <c r="O69" s="13"/>
    </row>
    <row r="70" spans="1:15" s="4" customFormat="1" ht="135" customHeight="1" x14ac:dyDescent="0.35">
      <c r="A70" s="111"/>
      <c r="B70" s="113"/>
      <c r="C70" s="126" t="s">
        <v>35</v>
      </c>
      <c r="D70" s="189" t="s">
        <v>93</v>
      </c>
      <c r="E70" s="190"/>
      <c r="F70" s="108">
        <v>750000000</v>
      </c>
      <c r="G70" s="101" t="s">
        <v>132</v>
      </c>
      <c r="H70" s="156">
        <v>100</v>
      </c>
      <c r="I70" s="100"/>
      <c r="J70" s="100"/>
      <c r="K70" s="100"/>
      <c r="L70" s="13"/>
      <c r="M70" s="13"/>
      <c r="N70" s="13"/>
      <c r="O70" s="13"/>
    </row>
    <row r="71" spans="1:15" s="4" customFormat="1" ht="135" customHeight="1" x14ac:dyDescent="0.35">
      <c r="A71" s="111"/>
      <c r="B71" s="113"/>
      <c r="C71" s="126" t="s">
        <v>36</v>
      </c>
      <c r="D71" s="189" t="s">
        <v>94</v>
      </c>
      <c r="E71" s="190"/>
      <c r="F71" s="108">
        <v>150000000</v>
      </c>
      <c r="G71" s="101" t="s">
        <v>132</v>
      </c>
      <c r="H71" s="156">
        <v>100</v>
      </c>
      <c r="I71" s="100"/>
      <c r="J71" s="100"/>
      <c r="K71" s="100"/>
      <c r="L71" s="13"/>
      <c r="M71" s="13"/>
      <c r="N71" s="13"/>
      <c r="O71" s="13"/>
    </row>
    <row r="72" spans="1:15" s="4" customFormat="1" ht="135" customHeight="1" x14ac:dyDescent="0.35">
      <c r="A72" s="111"/>
      <c r="B72" s="113"/>
      <c r="C72" s="126" t="s">
        <v>37</v>
      </c>
      <c r="D72" s="189" t="s">
        <v>95</v>
      </c>
      <c r="E72" s="190"/>
      <c r="F72" s="108">
        <v>150000000</v>
      </c>
      <c r="G72" s="101" t="s">
        <v>132</v>
      </c>
      <c r="H72" s="156">
        <v>100</v>
      </c>
      <c r="I72" s="100"/>
      <c r="J72" s="100"/>
      <c r="K72" s="100"/>
      <c r="L72" s="13"/>
      <c r="M72" s="13"/>
      <c r="N72" s="13"/>
      <c r="O72" s="13"/>
    </row>
    <row r="73" spans="1:15" s="4" customFormat="1" ht="135" customHeight="1" x14ac:dyDescent="0.35">
      <c r="A73" s="111"/>
      <c r="B73" s="113"/>
      <c r="C73" s="126" t="s">
        <v>38</v>
      </c>
      <c r="D73" s="189" t="s">
        <v>96</v>
      </c>
      <c r="E73" s="190"/>
      <c r="F73" s="108">
        <v>336143400</v>
      </c>
      <c r="G73" s="101" t="s">
        <v>132</v>
      </c>
      <c r="H73" s="156">
        <v>100</v>
      </c>
      <c r="I73" s="100"/>
      <c r="J73" s="100"/>
      <c r="K73" s="100"/>
      <c r="L73" s="13"/>
      <c r="M73" s="13"/>
      <c r="N73" s="13"/>
      <c r="O73" s="13"/>
    </row>
    <row r="74" spans="1:15" s="31" customFormat="1" ht="135" customHeight="1" x14ac:dyDescent="0.35">
      <c r="A74" s="109" t="s">
        <v>47</v>
      </c>
      <c r="B74" s="192" t="s">
        <v>97</v>
      </c>
      <c r="C74" s="193"/>
      <c r="D74" s="193"/>
      <c r="E74" s="194"/>
      <c r="F74" s="117">
        <f>SUM(F75:F77)</f>
        <v>291990000</v>
      </c>
      <c r="G74" s="101" t="s">
        <v>132</v>
      </c>
      <c r="H74" s="156">
        <v>100</v>
      </c>
      <c r="I74" s="100"/>
      <c r="J74" s="100"/>
      <c r="K74" s="100"/>
      <c r="L74" s="12"/>
      <c r="M74" s="12"/>
      <c r="N74" s="12"/>
      <c r="O74" s="12"/>
    </row>
    <row r="75" spans="1:15" s="6" customFormat="1" ht="135" customHeight="1" x14ac:dyDescent="0.35">
      <c r="A75" s="111"/>
      <c r="B75" s="128"/>
      <c r="C75" s="130" t="s">
        <v>30</v>
      </c>
      <c r="D75" s="197" t="s">
        <v>98</v>
      </c>
      <c r="E75" s="197"/>
      <c r="F75" s="108">
        <v>50000000</v>
      </c>
      <c r="G75" s="101" t="s">
        <v>132</v>
      </c>
      <c r="H75" s="156">
        <v>100</v>
      </c>
      <c r="I75" s="100"/>
      <c r="J75" s="100"/>
      <c r="K75" s="100"/>
      <c r="L75" s="12"/>
      <c r="M75" s="12"/>
      <c r="N75" s="12"/>
      <c r="O75" s="12"/>
    </row>
    <row r="76" spans="1:15" s="12" customFormat="1" ht="135" customHeight="1" x14ac:dyDescent="0.35">
      <c r="A76" s="109"/>
      <c r="B76" s="128"/>
      <c r="C76" s="130" t="s">
        <v>31</v>
      </c>
      <c r="D76" s="197" t="s">
        <v>99</v>
      </c>
      <c r="E76" s="197"/>
      <c r="F76" s="108">
        <v>141990000</v>
      </c>
      <c r="G76" s="101" t="s">
        <v>132</v>
      </c>
      <c r="H76" s="156">
        <v>100</v>
      </c>
      <c r="I76" s="100"/>
      <c r="J76" s="100"/>
      <c r="K76" s="100"/>
    </row>
    <row r="77" spans="1:15" s="12" customFormat="1" ht="135" customHeight="1" x14ac:dyDescent="0.35">
      <c r="A77" s="109"/>
      <c r="B77" s="128"/>
      <c r="C77" s="130" t="s">
        <v>32</v>
      </c>
      <c r="D77" s="195" t="s">
        <v>100</v>
      </c>
      <c r="E77" s="196"/>
      <c r="F77" s="108">
        <v>100000000</v>
      </c>
      <c r="G77" s="101" t="s">
        <v>132</v>
      </c>
      <c r="H77" s="156">
        <v>100</v>
      </c>
      <c r="I77" s="100"/>
      <c r="J77" s="100"/>
      <c r="K77" s="100"/>
    </row>
    <row r="78" spans="1:15" s="12" customFormat="1" ht="135" customHeight="1" x14ac:dyDescent="0.35">
      <c r="A78" s="109" t="s">
        <v>66</v>
      </c>
      <c r="B78" s="192" t="s">
        <v>101</v>
      </c>
      <c r="C78" s="193"/>
      <c r="D78" s="193"/>
      <c r="E78" s="194"/>
      <c r="F78" s="116">
        <f>SUM(F79:F81)</f>
        <v>650000000</v>
      </c>
      <c r="G78" s="101" t="s">
        <v>132</v>
      </c>
      <c r="H78" s="156">
        <v>100</v>
      </c>
      <c r="I78" s="100"/>
      <c r="J78" s="100"/>
      <c r="K78" s="100"/>
    </row>
    <row r="79" spans="1:15" s="12" customFormat="1" ht="135" customHeight="1" x14ac:dyDescent="0.35">
      <c r="A79" s="109"/>
      <c r="B79" s="128"/>
      <c r="C79" s="126" t="s">
        <v>30</v>
      </c>
      <c r="D79" s="189" t="s">
        <v>102</v>
      </c>
      <c r="E79" s="190"/>
      <c r="F79" s="108">
        <v>550000000</v>
      </c>
      <c r="G79" s="101" t="s">
        <v>132</v>
      </c>
      <c r="H79" s="156">
        <v>100</v>
      </c>
      <c r="I79" s="100"/>
      <c r="J79" s="100"/>
      <c r="K79" s="100"/>
    </row>
    <row r="80" spans="1:15" s="12" customFormat="1" ht="135" customHeight="1" x14ac:dyDescent="0.35">
      <c r="A80" s="109"/>
      <c r="B80" s="128"/>
      <c r="C80" s="126" t="s">
        <v>31</v>
      </c>
      <c r="D80" s="189" t="s">
        <v>103</v>
      </c>
      <c r="E80" s="190"/>
      <c r="F80" s="108">
        <v>50000000</v>
      </c>
      <c r="G80" s="101" t="s">
        <v>132</v>
      </c>
      <c r="H80" s="156">
        <v>100</v>
      </c>
      <c r="I80" s="100"/>
      <c r="J80" s="100"/>
      <c r="K80" s="100"/>
    </row>
    <row r="81" spans="1:15" s="12" customFormat="1" ht="135" customHeight="1" x14ac:dyDescent="0.35">
      <c r="A81" s="109"/>
      <c r="B81" s="128"/>
      <c r="C81" s="126" t="s">
        <v>32</v>
      </c>
      <c r="D81" s="191" t="s">
        <v>104</v>
      </c>
      <c r="E81" s="191"/>
      <c r="F81" s="108">
        <v>50000000</v>
      </c>
      <c r="G81" s="101" t="s">
        <v>132</v>
      </c>
      <c r="H81" s="156">
        <v>100</v>
      </c>
      <c r="I81" s="100"/>
      <c r="J81" s="100"/>
      <c r="K81" s="100"/>
    </row>
    <row r="82" spans="1:15" s="4" customFormat="1" ht="135" customHeight="1" x14ac:dyDescent="0.35">
      <c r="A82" s="109" t="s">
        <v>49</v>
      </c>
      <c r="B82" s="186" t="s">
        <v>105</v>
      </c>
      <c r="C82" s="186"/>
      <c r="D82" s="186"/>
      <c r="E82" s="186"/>
      <c r="F82" s="116">
        <f>SUM(F83:F89)</f>
        <v>9834121000</v>
      </c>
      <c r="G82" s="101" t="s">
        <v>132</v>
      </c>
      <c r="H82" s="156">
        <v>100</v>
      </c>
      <c r="I82" s="100"/>
      <c r="J82" s="100"/>
      <c r="K82" s="100"/>
      <c r="L82" s="13"/>
      <c r="M82" s="13"/>
      <c r="N82" s="13"/>
      <c r="O82" s="13"/>
    </row>
    <row r="83" spans="1:15" s="30" customFormat="1" ht="135" customHeight="1" x14ac:dyDescent="0.35">
      <c r="A83" s="109"/>
      <c r="B83" s="110"/>
      <c r="C83" s="126" t="s">
        <v>30</v>
      </c>
      <c r="D83" s="191" t="s">
        <v>107</v>
      </c>
      <c r="E83" s="191"/>
      <c r="F83" s="108">
        <v>150000000</v>
      </c>
      <c r="G83" s="101" t="s">
        <v>132</v>
      </c>
      <c r="H83" s="156">
        <v>100</v>
      </c>
      <c r="I83" s="100"/>
      <c r="J83" s="100"/>
      <c r="K83" s="100"/>
      <c r="L83" s="12"/>
      <c r="M83" s="12"/>
      <c r="N83" s="12"/>
      <c r="O83" s="12"/>
    </row>
    <row r="84" spans="1:15" s="4" customFormat="1" ht="135" customHeight="1" x14ac:dyDescent="0.35">
      <c r="A84" s="111"/>
      <c r="B84" s="128"/>
      <c r="C84" s="130" t="s">
        <v>31</v>
      </c>
      <c r="D84" s="191" t="s">
        <v>108</v>
      </c>
      <c r="E84" s="191"/>
      <c r="F84" s="108">
        <v>220000000</v>
      </c>
      <c r="G84" s="101" t="s">
        <v>132</v>
      </c>
      <c r="H84" s="159">
        <v>100</v>
      </c>
      <c r="I84" s="100"/>
      <c r="J84" s="100"/>
      <c r="K84" s="100"/>
    </row>
    <row r="85" spans="1:15" s="13" customFormat="1" ht="135" customHeight="1" x14ac:dyDescent="0.35">
      <c r="A85" s="111"/>
      <c r="B85" s="128"/>
      <c r="C85" s="130" t="s">
        <v>32</v>
      </c>
      <c r="D85" s="207" t="s">
        <v>109</v>
      </c>
      <c r="E85" s="208"/>
      <c r="F85" s="108">
        <v>150000000</v>
      </c>
      <c r="G85" s="101" t="s">
        <v>132</v>
      </c>
      <c r="H85" s="156">
        <v>100</v>
      </c>
      <c r="I85" s="100"/>
      <c r="J85" s="100"/>
      <c r="K85" s="100"/>
    </row>
    <row r="86" spans="1:15" s="13" customFormat="1" ht="135" customHeight="1" x14ac:dyDescent="0.35">
      <c r="A86" s="111"/>
      <c r="B86" s="128"/>
      <c r="C86" s="130" t="s">
        <v>33</v>
      </c>
      <c r="D86" s="189" t="s">
        <v>41</v>
      </c>
      <c r="E86" s="190"/>
      <c r="F86" s="108">
        <v>72000000</v>
      </c>
      <c r="G86" s="101" t="s">
        <v>132</v>
      </c>
      <c r="H86" s="156">
        <v>100</v>
      </c>
      <c r="I86" s="100"/>
      <c r="J86" s="100"/>
      <c r="K86" s="100"/>
    </row>
    <row r="87" spans="1:15" s="13" customFormat="1" ht="135" customHeight="1" x14ac:dyDescent="0.35">
      <c r="A87" s="111"/>
      <c r="B87" s="128"/>
      <c r="C87" s="130" t="s">
        <v>34</v>
      </c>
      <c r="D87" s="189" t="s">
        <v>110</v>
      </c>
      <c r="E87" s="190"/>
      <c r="F87" s="108">
        <v>7833841000</v>
      </c>
      <c r="G87" s="101" t="s">
        <v>132</v>
      </c>
      <c r="H87" s="156">
        <v>100</v>
      </c>
      <c r="I87" s="102"/>
      <c r="J87" s="102"/>
      <c r="K87" s="100"/>
    </row>
    <row r="88" spans="1:15" s="13" customFormat="1" ht="135" customHeight="1" x14ac:dyDescent="0.35">
      <c r="A88" s="111"/>
      <c r="B88" s="128"/>
      <c r="C88" s="130" t="s">
        <v>35</v>
      </c>
      <c r="D88" s="189" t="s">
        <v>122</v>
      </c>
      <c r="E88" s="190"/>
      <c r="F88" s="108">
        <v>1000000000</v>
      </c>
      <c r="G88" s="101" t="s">
        <v>133</v>
      </c>
      <c r="H88" s="156">
        <v>100</v>
      </c>
      <c r="I88" s="102"/>
      <c r="J88" s="102"/>
      <c r="K88" s="100"/>
    </row>
    <row r="89" spans="1:15" s="13" customFormat="1" ht="135" customHeight="1" x14ac:dyDescent="0.35">
      <c r="A89" s="111"/>
      <c r="B89" s="128"/>
      <c r="C89" s="130" t="s">
        <v>36</v>
      </c>
      <c r="D89" s="189" t="s">
        <v>111</v>
      </c>
      <c r="E89" s="190"/>
      <c r="F89" s="108">
        <v>408280000</v>
      </c>
      <c r="G89" s="101" t="s">
        <v>132</v>
      </c>
      <c r="H89" s="156">
        <v>100</v>
      </c>
      <c r="I89" s="102"/>
      <c r="J89" s="102"/>
      <c r="K89" s="100"/>
    </row>
    <row r="90" spans="1:15" s="32" customFormat="1" ht="28.5" customHeight="1" x14ac:dyDescent="0.45">
      <c r="A90" s="119"/>
      <c r="B90" s="142"/>
      <c r="C90" s="142"/>
      <c r="D90" s="142"/>
      <c r="E90" s="142"/>
      <c r="F90" s="119"/>
      <c r="G90" s="119"/>
      <c r="H90" s="160"/>
      <c r="I90" s="198" t="s">
        <v>161</v>
      </c>
      <c r="J90" s="198"/>
      <c r="K90" s="198"/>
      <c r="L90" s="53"/>
      <c r="M90" s="53"/>
      <c r="N90" s="53"/>
      <c r="O90" s="53"/>
    </row>
    <row r="91" spans="1:15" s="33" customFormat="1" ht="30.75" customHeight="1" x14ac:dyDescent="0.45">
      <c r="A91" s="199"/>
      <c r="B91" s="199"/>
      <c r="C91" s="199"/>
      <c r="D91" s="199"/>
      <c r="E91" s="199"/>
      <c r="F91" s="119"/>
      <c r="G91" s="119"/>
      <c r="H91" s="160"/>
      <c r="I91" s="204" t="s">
        <v>106</v>
      </c>
      <c r="J91" s="204"/>
      <c r="K91" s="204"/>
      <c r="L91" s="55"/>
      <c r="M91" s="55"/>
    </row>
    <row r="92" spans="1:15" s="4" customFormat="1" ht="24" customHeight="1" x14ac:dyDescent="0.45">
      <c r="A92" s="199"/>
      <c r="B92" s="199"/>
      <c r="C92" s="199"/>
      <c r="D92" s="199"/>
      <c r="E92" s="199"/>
      <c r="F92" s="119"/>
      <c r="G92" s="119"/>
      <c r="H92" s="160"/>
      <c r="I92" s="204" t="s">
        <v>9</v>
      </c>
      <c r="J92" s="204"/>
      <c r="K92" s="204"/>
      <c r="L92" s="55"/>
      <c r="M92" s="55"/>
    </row>
    <row r="93" spans="1:15" s="4" customFormat="1" ht="16.5" customHeight="1" x14ac:dyDescent="0.45">
      <c r="A93" s="119"/>
      <c r="B93" s="142"/>
      <c r="C93" s="142"/>
      <c r="D93" s="142"/>
      <c r="E93" s="142"/>
      <c r="F93" s="119"/>
      <c r="G93" s="119"/>
      <c r="H93" s="160"/>
      <c r="I93" s="96"/>
      <c r="J93" s="96"/>
      <c r="K93" s="96"/>
      <c r="L93" s="91"/>
      <c r="M93" s="91"/>
    </row>
    <row r="94" spans="1:15" s="4" customFormat="1" ht="15" customHeight="1" x14ac:dyDescent="0.45">
      <c r="A94" s="119"/>
      <c r="B94" s="142"/>
      <c r="C94" s="142"/>
      <c r="D94" s="142"/>
      <c r="E94" s="142"/>
      <c r="F94" s="119"/>
      <c r="G94" s="119"/>
      <c r="H94" s="160"/>
      <c r="I94" s="114"/>
      <c r="J94" s="114"/>
      <c r="K94" s="96"/>
      <c r="L94" s="29"/>
      <c r="M94" s="29"/>
    </row>
    <row r="95" spans="1:15" s="4" customFormat="1" ht="36" customHeight="1" x14ac:dyDescent="0.45">
      <c r="A95" s="205"/>
      <c r="B95" s="205"/>
      <c r="C95" s="205"/>
      <c r="D95" s="205"/>
      <c r="E95" s="205"/>
      <c r="F95" s="119"/>
      <c r="G95" s="119"/>
      <c r="H95" s="160"/>
      <c r="I95" s="206" t="s">
        <v>124</v>
      </c>
      <c r="J95" s="206"/>
      <c r="K95" s="206"/>
      <c r="L95" s="92"/>
      <c r="M95" s="92"/>
    </row>
    <row r="96" spans="1:15" s="4" customFormat="1" ht="19.5" customHeight="1" x14ac:dyDescent="0.35">
      <c r="A96" s="199"/>
      <c r="B96" s="199"/>
      <c r="C96" s="199"/>
      <c r="D96" s="199"/>
      <c r="E96" s="199"/>
      <c r="F96" s="139"/>
      <c r="G96" s="139"/>
      <c r="H96" s="139"/>
      <c r="I96" s="199" t="s">
        <v>125</v>
      </c>
      <c r="J96" s="199"/>
      <c r="K96" s="199"/>
      <c r="L96" s="93"/>
      <c r="M96" s="93"/>
    </row>
    <row r="97" spans="1:11" s="14" customFormat="1" ht="42.75" customHeight="1" x14ac:dyDescent="0.6">
      <c r="A97" s="140"/>
      <c r="B97" s="143"/>
      <c r="C97" s="143"/>
      <c r="D97" s="143"/>
      <c r="E97" s="143"/>
      <c r="F97" s="139"/>
      <c r="G97" s="139"/>
      <c r="H97" s="139"/>
      <c r="I97" s="115"/>
      <c r="J97" s="115"/>
      <c r="K97" s="115"/>
    </row>
    <row r="98" spans="1:11" s="4" customFormat="1" ht="62.25" customHeight="1" x14ac:dyDescent="0.6">
      <c r="A98" s="140"/>
      <c r="B98" s="143"/>
      <c r="C98" s="143"/>
      <c r="D98" s="143"/>
      <c r="E98" s="143"/>
      <c r="F98" s="139"/>
      <c r="G98" s="139"/>
      <c r="H98" s="139"/>
      <c r="I98" s="115"/>
      <c r="J98" s="115"/>
      <c r="K98" s="115"/>
    </row>
    <row r="99" spans="1:11" s="4" customFormat="1" ht="78.75" customHeight="1" x14ac:dyDescent="0.6">
      <c r="A99" s="140"/>
      <c r="B99" s="143"/>
      <c r="C99" s="143"/>
      <c r="D99" s="143"/>
      <c r="E99" s="143"/>
      <c r="F99" s="139"/>
      <c r="G99" s="139"/>
      <c r="H99" s="139"/>
      <c r="I99" s="115"/>
      <c r="J99" s="115"/>
      <c r="K99" s="115"/>
    </row>
    <row r="100" spans="1:11" s="13" customFormat="1" ht="74.25" customHeight="1" x14ac:dyDescent="0.6">
      <c r="A100" s="140"/>
      <c r="B100" s="143"/>
      <c r="C100" s="143"/>
      <c r="D100" s="143"/>
      <c r="E100" s="143"/>
      <c r="F100" s="139"/>
      <c r="G100" s="139"/>
      <c r="H100" s="139"/>
      <c r="I100" s="115"/>
      <c r="J100" s="115"/>
      <c r="K100" s="115"/>
    </row>
    <row r="101" spans="1:11" s="13" customFormat="1" ht="78.75" customHeight="1" x14ac:dyDescent="0.6">
      <c r="A101" s="140"/>
      <c r="B101" s="143"/>
      <c r="C101" s="143"/>
      <c r="D101" s="143"/>
      <c r="E101" s="143"/>
      <c r="F101" s="139"/>
      <c r="G101" s="139"/>
      <c r="H101" s="139"/>
      <c r="I101" s="115"/>
      <c r="J101" s="115"/>
      <c r="K101" s="115"/>
    </row>
    <row r="102" spans="1:11" s="13" customFormat="1" ht="39" customHeight="1" x14ac:dyDescent="0.6">
      <c r="A102" s="140"/>
      <c r="B102" s="143"/>
      <c r="C102" s="143"/>
      <c r="D102" s="143"/>
      <c r="E102" s="143"/>
      <c r="F102" s="139"/>
      <c r="G102" s="139"/>
      <c r="H102" s="139"/>
      <c r="I102" s="115"/>
      <c r="J102" s="115"/>
      <c r="K102" s="115"/>
    </row>
    <row r="110" spans="1:11" ht="18.75" customHeight="1" x14ac:dyDescent="0.6"/>
    <row r="111" spans="1:11" ht="14.25" hidden="1" customHeight="1" x14ac:dyDescent="0.6"/>
    <row r="174" spans="1:11" s="2" customFormat="1" x14ac:dyDescent="0.6">
      <c r="A174" s="140"/>
      <c r="B174" s="143"/>
      <c r="C174" s="143"/>
      <c r="D174" s="143"/>
      <c r="E174" s="143"/>
      <c r="F174" s="139"/>
      <c r="G174" s="139"/>
      <c r="H174" s="139"/>
      <c r="I174" s="115"/>
      <c r="J174" s="115"/>
      <c r="K174" s="115"/>
    </row>
    <row r="175" spans="1:11" s="2" customFormat="1" x14ac:dyDescent="0.6">
      <c r="A175" s="140"/>
      <c r="B175" s="143"/>
      <c r="C175" s="143"/>
      <c r="D175" s="143"/>
      <c r="E175" s="143"/>
      <c r="F175" s="139"/>
      <c r="G175" s="139"/>
      <c r="H175" s="139"/>
      <c r="I175" s="115"/>
      <c r="J175" s="115"/>
      <c r="K175" s="115"/>
    </row>
  </sheetData>
  <mergeCells count="77">
    <mergeCell ref="I90:K90"/>
    <mergeCell ref="A96:E96"/>
    <mergeCell ref="I96:K96"/>
    <mergeCell ref="H6:H7"/>
    <mergeCell ref="H5:J5"/>
    <mergeCell ref="I6:I7"/>
    <mergeCell ref="J6:J7"/>
    <mergeCell ref="A91:E91"/>
    <mergeCell ref="I91:K91"/>
    <mergeCell ref="A92:E92"/>
    <mergeCell ref="I92:K92"/>
    <mergeCell ref="A95:E95"/>
    <mergeCell ref="I95:K95"/>
    <mergeCell ref="D84:E84"/>
    <mergeCell ref="D85:E85"/>
    <mergeCell ref="D86:E86"/>
    <mergeCell ref="D87:E87"/>
    <mergeCell ref="D88:E88"/>
    <mergeCell ref="D89:E89"/>
    <mergeCell ref="B78:E78"/>
    <mergeCell ref="D79:E79"/>
    <mergeCell ref="D80:E80"/>
    <mergeCell ref="D81:E81"/>
    <mergeCell ref="B82:E82"/>
    <mergeCell ref="D83:E83"/>
    <mergeCell ref="D77:E77"/>
    <mergeCell ref="D66:E66"/>
    <mergeCell ref="D67:E67"/>
    <mergeCell ref="D68:E68"/>
    <mergeCell ref="D69:E69"/>
    <mergeCell ref="D70:E70"/>
    <mergeCell ref="D71:E71"/>
    <mergeCell ref="D72:E72"/>
    <mergeCell ref="D73:E73"/>
    <mergeCell ref="B74:E74"/>
    <mergeCell ref="D75:E75"/>
    <mergeCell ref="D76:E76"/>
    <mergeCell ref="D65:E65"/>
    <mergeCell ref="D54:E54"/>
    <mergeCell ref="D55:E55"/>
    <mergeCell ref="D56:E56"/>
    <mergeCell ref="B57:E57"/>
    <mergeCell ref="D58:E58"/>
    <mergeCell ref="D59:E59"/>
    <mergeCell ref="C60:E60"/>
    <mergeCell ref="D61:E61"/>
    <mergeCell ref="D62:E62"/>
    <mergeCell ref="D63:E63"/>
    <mergeCell ref="B64:E64"/>
    <mergeCell ref="D53:E53"/>
    <mergeCell ref="B25:E25"/>
    <mergeCell ref="C26:E26"/>
    <mergeCell ref="D27:E27"/>
    <mergeCell ref="D37:E37"/>
    <mergeCell ref="D40:E40"/>
    <mergeCell ref="B47:E47"/>
    <mergeCell ref="B48:E48"/>
    <mergeCell ref="D49:E49"/>
    <mergeCell ref="D50:E50"/>
    <mergeCell ref="D51:E51"/>
    <mergeCell ref="D52:E52"/>
    <mergeCell ref="B24:E24"/>
    <mergeCell ref="K5:K7"/>
    <mergeCell ref="B8:E8"/>
    <mergeCell ref="B9:E9"/>
    <mergeCell ref="A1:K1"/>
    <mergeCell ref="A2:K2"/>
    <mergeCell ref="E4:K4"/>
    <mergeCell ref="A5:A7"/>
    <mergeCell ref="B5:E7"/>
    <mergeCell ref="F5:F7"/>
    <mergeCell ref="G5:G7"/>
    <mergeCell ref="B10:E10"/>
    <mergeCell ref="C11:E11"/>
    <mergeCell ref="D12:E12"/>
    <mergeCell ref="D14:E14"/>
    <mergeCell ref="D17:E17"/>
  </mergeCells>
  <printOptions horizontalCentered="1"/>
  <pageMargins left="0" right="0" top="0.78740157480314965" bottom="0" header="0.19685039370078741" footer="0.15748031496062992"/>
  <pageSetup paperSize="5" scale="36" orientation="landscape" r:id="rId1"/>
  <headerFooter scaleWithDoc="0" alignWithMargins="0"/>
  <rowBreaks count="9" manualBreakCount="9">
    <brk id="15" max="10" man="1"/>
    <brk id="23" max="10" man="1"/>
    <brk id="32" max="10" man="1"/>
    <brk id="39" max="10" man="1"/>
    <brk id="46" max="10" man="1"/>
    <brk id="55" max="10" man="1"/>
    <brk id="63" max="10" man="1"/>
    <brk id="71" max="10" man="1"/>
    <brk id="8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5"/>
  <sheetViews>
    <sheetView view="pageBreakPreview" topLeftCell="A37" zoomScale="50" zoomScaleNormal="70" zoomScaleSheetLayoutView="50" workbookViewId="0">
      <selection activeCell="O50" sqref="O50"/>
    </sheetView>
  </sheetViews>
  <sheetFormatPr defaultColWidth="9.1796875" defaultRowHeight="13" x14ac:dyDescent="0.3"/>
  <cols>
    <col min="1" max="1" width="5.7265625" style="1" customWidth="1"/>
    <col min="2" max="2" width="1.453125" style="1" customWidth="1"/>
    <col min="3" max="3" width="4.1796875" style="1" customWidth="1"/>
    <col min="4" max="4" width="2.81640625" style="1" customWidth="1"/>
    <col min="5" max="5" width="36.453125" style="1" customWidth="1"/>
    <col min="6" max="6" width="26.1796875" style="17" customWidth="1"/>
    <col min="7" max="7" width="15.81640625" style="80" customWidth="1"/>
    <col min="8" max="8" width="13.453125" style="17" customWidth="1"/>
    <col min="9" max="9" width="16.26953125" style="17" customWidth="1"/>
    <col min="10" max="10" width="24.26953125" style="17" customWidth="1"/>
    <col min="11" max="11" width="14.1796875" style="17" customWidth="1"/>
    <col min="12" max="12" width="16.1796875" style="17" customWidth="1"/>
    <col min="13" max="13" width="19.1796875" style="17" customWidth="1"/>
    <col min="14" max="14" width="17" style="17" customWidth="1"/>
    <col min="15" max="15" width="25.453125" style="17" customWidth="1"/>
    <col min="16" max="17" width="16.7265625" style="17" customWidth="1"/>
    <col min="18" max="16384" width="9.1796875" style="1"/>
  </cols>
  <sheetData>
    <row r="1" spans="1:17" s="5" customFormat="1" ht="24.5" x14ac:dyDescent="0.5">
      <c r="A1" s="177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5" customFormat="1" ht="24.5" x14ac:dyDescent="0.5">
      <c r="A2" s="177" t="s">
        <v>129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s="5" customFormat="1" ht="26.25" customHeight="1" x14ac:dyDescent="0.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89"/>
      <c r="P3" s="70"/>
      <c r="Q3" s="70"/>
    </row>
    <row r="4" spans="1:17" s="5" customFormat="1" ht="30" customHeight="1" x14ac:dyDescent="0.5">
      <c r="A4" s="23" t="s">
        <v>15</v>
      </c>
      <c r="B4" s="23"/>
      <c r="C4" s="24"/>
      <c r="D4" s="24" t="s">
        <v>16</v>
      </c>
      <c r="E4" s="234" t="s">
        <v>48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6" customFormat="1" ht="33" customHeight="1" x14ac:dyDescent="0.35">
      <c r="A5" s="236" t="s">
        <v>0</v>
      </c>
      <c r="B5" s="237" t="s">
        <v>127</v>
      </c>
      <c r="C5" s="237"/>
      <c r="D5" s="237"/>
      <c r="E5" s="237"/>
      <c r="F5" s="238" t="s">
        <v>130</v>
      </c>
      <c r="G5" s="245" t="s">
        <v>131</v>
      </c>
      <c r="H5" s="239" t="s">
        <v>134</v>
      </c>
      <c r="I5" s="251"/>
      <c r="J5" s="251"/>
      <c r="K5" s="251"/>
      <c r="L5" s="240"/>
      <c r="M5" s="239" t="s">
        <v>139</v>
      </c>
      <c r="N5" s="240"/>
      <c r="O5" s="245" t="s">
        <v>140</v>
      </c>
      <c r="P5" s="245" t="s">
        <v>143</v>
      </c>
      <c r="Q5" s="245" t="s">
        <v>144</v>
      </c>
    </row>
    <row r="6" spans="1:17" s="6" customFormat="1" ht="23.25" customHeight="1" x14ac:dyDescent="0.35">
      <c r="A6" s="236"/>
      <c r="B6" s="237"/>
      <c r="C6" s="237"/>
      <c r="D6" s="237"/>
      <c r="E6" s="237"/>
      <c r="F6" s="238"/>
      <c r="G6" s="246"/>
      <c r="H6" s="248" t="s">
        <v>135</v>
      </c>
      <c r="I6" s="250"/>
      <c r="J6" s="248" t="s">
        <v>137</v>
      </c>
      <c r="K6" s="249"/>
      <c r="L6" s="250"/>
      <c r="M6" s="241"/>
      <c r="N6" s="242"/>
      <c r="O6" s="246"/>
      <c r="P6" s="246"/>
      <c r="Q6" s="246"/>
    </row>
    <row r="7" spans="1:17" s="6" customFormat="1" ht="47.25" customHeight="1" x14ac:dyDescent="0.35">
      <c r="A7" s="236"/>
      <c r="B7" s="237"/>
      <c r="C7" s="237"/>
      <c r="D7" s="237"/>
      <c r="E7" s="237"/>
      <c r="F7" s="238"/>
      <c r="G7" s="247"/>
      <c r="H7" s="84" t="s">
        <v>136</v>
      </c>
      <c r="I7" s="84" t="s">
        <v>138</v>
      </c>
      <c r="J7" s="83" t="s">
        <v>145</v>
      </c>
      <c r="K7" s="84" t="s">
        <v>136</v>
      </c>
      <c r="L7" s="84" t="s">
        <v>138</v>
      </c>
      <c r="M7" s="243"/>
      <c r="N7" s="244"/>
      <c r="O7" s="247"/>
      <c r="P7" s="247"/>
      <c r="Q7" s="247"/>
    </row>
    <row r="8" spans="1:17" s="7" customFormat="1" ht="37.5" customHeight="1" x14ac:dyDescent="0.35">
      <c r="A8" s="25">
        <v>1</v>
      </c>
      <c r="B8" s="232">
        <v>2</v>
      </c>
      <c r="C8" s="232"/>
      <c r="D8" s="232"/>
      <c r="E8" s="232"/>
      <c r="F8" s="82">
        <v>3</v>
      </c>
      <c r="G8" s="82">
        <v>4</v>
      </c>
      <c r="H8" s="82">
        <v>5</v>
      </c>
      <c r="I8" s="82">
        <v>6</v>
      </c>
      <c r="J8" s="82">
        <v>7</v>
      </c>
      <c r="K8" s="82">
        <v>8</v>
      </c>
      <c r="L8" s="82" t="s">
        <v>141</v>
      </c>
      <c r="M8" s="82" t="s">
        <v>142</v>
      </c>
      <c r="N8" s="82" t="s">
        <v>146</v>
      </c>
      <c r="O8" s="82" t="s">
        <v>147</v>
      </c>
      <c r="P8" s="82">
        <v>14</v>
      </c>
      <c r="Q8" s="82">
        <v>15</v>
      </c>
    </row>
    <row r="9" spans="1:17" s="7" customFormat="1" ht="27" customHeight="1" x14ac:dyDescent="0.35">
      <c r="A9" s="37" t="s">
        <v>68</v>
      </c>
      <c r="B9" s="229" t="s">
        <v>10</v>
      </c>
      <c r="C9" s="229"/>
      <c r="D9" s="229"/>
      <c r="E9" s="229"/>
      <c r="F9" s="15">
        <f t="shared" ref="F9:F10" si="0">SUM(F10)</f>
        <v>2220372180</v>
      </c>
      <c r="G9" s="79" t="s">
        <v>132</v>
      </c>
      <c r="H9" s="161">
        <v>32.79</v>
      </c>
      <c r="I9" s="161">
        <v>32.79</v>
      </c>
      <c r="J9" s="15">
        <v>728106300</v>
      </c>
      <c r="K9" s="161">
        <v>32.79</v>
      </c>
      <c r="L9" s="161">
        <v>32.79</v>
      </c>
      <c r="M9" s="87">
        <f>L9-I9</f>
        <v>0</v>
      </c>
      <c r="N9" s="87">
        <f>K9-H9</f>
        <v>0</v>
      </c>
      <c r="O9" s="54">
        <f>F9-J9</f>
        <v>1492265880</v>
      </c>
      <c r="P9" s="15"/>
      <c r="Q9" s="15"/>
    </row>
    <row r="10" spans="1:17" s="7" customFormat="1" ht="42.75" customHeight="1" x14ac:dyDescent="0.35">
      <c r="A10" s="37"/>
      <c r="B10" s="229" t="s">
        <v>52</v>
      </c>
      <c r="C10" s="229"/>
      <c r="D10" s="229"/>
      <c r="E10" s="229"/>
      <c r="F10" s="15">
        <f t="shared" si="0"/>
        <v>2220372180</v>
      </c>
      <c r="G10" s="79" t="s">
        <v>132</v>
      </c>
      <c r="H10" s="161">
        <v>32.79</v>
      </c>
      <c r="I10" s="161">
        <v>32.79</v>
      </c>
      <c r="J10" s="15">
        <v>728106300</v>
      </c>
      <c r="K10" s="161">
        <v>32.79</v>
      </c>
      <c r="L10" s="161">
        <v>32.79</v>
      </c>
      <c r="M10" s="87">
        <f t="shared" ref="M10:M73" si="1">L10-I10</f>
        <v>0</v>
      </c>
      <c r="N10" s="87">
        <f t="shared" ref="N10:N73" si="2">K10-H10</f>
        <v>0</v>
      </c>
      <c r="O10" s="54">
        <f t="shared" ref="O10:O73" si="3">F10-J10</f>
        <v>1492265880</v>
      </c>
      <c r="P10" s="15"/>
      <c r="Q10" s="15"/>
    </row>
    <row r="11" spans="1:17" s="7" customFormat="1" ht="33.75" customHeight="1" x14ac:dyDescent="0.35">
      <c r="A11" s="25"/>
      <c r="B11" s="38"/>
      <c r="C11" s="229" t="s">
        <v>53</v>
      </c>
      <c r="D11" s="233"/>
      <c r="E11" s="233"/>
      <c r="F11" s="15">
        <f t="shared" ref="F11" si="4">SUM(F12+F14+F16+F18+F20+F22)</f>
        <v>2220372180</v>
      </c>
      <c r="G11" s="79" t="s">
        <v>132</v>
      </c>
      <c r="H11" s="161">
        <v>32.79</v>
      </c>
      <c r="I11" s="161">
        <v>32.79</v>
      </c>
      <c r="J11" s="15">
        <v>728106300</v>
      </c>
      <c r="K11" s="161">
        <v>32.79</v>
      </c>
      <c r="L11" s="161">
        <v>32.79</v>
      </c>
      <c r="M11" s="87">
        <f t="shared" si="1"/>
        <v>0</v>
      </c>
      <c r="N11" s="87">
        <f t="shared" si="2"/>
        <v>0</v>
      </c>
      <c r="O11" s="54">
        <f t="shared" si="3"/>
        <v>1492265880</v>
      </c>
      <c r="P11" s="15"/>
      <c r="Q11" s="15"/>
    </row>
    <row r="12" spans="1:17" s="7" customFormat="1" ht="45" customHeight="1" x14ac:dyDescent="0.35">
      <c r="A12" s="25"/>
      <c r="B12" s="38"/>
      <c r="C12" s="38"/>
      <c r="D12" s="229" t="s">
        <v>54</v>
      </c>
      <c r="E12" s="229"/>
      <c r="F12" s="15">
        <f t="shared" ref="F12" si="5">SUM(F13)</f>
        <v>1331270000</v>
      </c>
      <c r="G12" s="79" t="s">
        <v>132</v>
      </c>
      <c r="H12" s="161">
        <v>39.729999999999997</v>
      </c>
      <c r="I12" s="161">
        <v>39.729999999999997</v>
      </c>
      <c r="J12" s="15">
        <v>528888000</v>
      </c>
      <c r="K12" s="161">
        <v>39.729999999999997</v>
      </c>
      <c r="L12" s="161">
        <v>39.729999999999997</v>
      </c>
      <c r="M12" s="87">
        <f t="shared" si="1"/>
        <v>0</v>
      </c>
      <c r="N12" s="87">
        <f t="shared" si="2"/>
        <v>0</v>
      </c>
      <c r="O12" s="54">
        <f t="shared" si="3"/>
        <v>802382000</v>
      </c>
      <c r="P12" s="15"/>
      <c r="Q12" s="15"/>
    </row>
    <row r="13" spans="1:17" s="7" customFormat="1" ht="52.5" customHeight="1" x14ac:dyDescent="0.35">
      <c r="A13" s="25"/>
      <c r="B13" s="38"/>
      <c r="C13" s="38"/>
      <c r="D13" s="76"/>
      <c r="E13" s="76" t="s">
        <v>12</v>
      </c>
      <c r="F13" s="39">
        <v>1331270000</v>
      </c>
      <c r="G13" s="79" t="s">
        <v>132</v>
      </c>
      <c r="H13" s="161">
        <v>39.729999999999997</v>
      </c>
      <c r="I13" s="161">
        <v>39.729999999999997</v>
      </c>
      <c r="J13" s="15">
        <v>528888000</v>
      </c>
      <c r="K13" s="161">
        <v>39.729999999999997</v>
      </c>
      <c r="L13" s="161">
        <v>39.729999999999997</v>
      </c>
      <c r="M13" s="88">
        <f t="shared" si="1"/>
        <v>0</v>
      </c>
      <c r="N13" s="88">
        <f t="shared" si="2"/>
        <v>0</v>
      </c>
      <c r="O13" s="54">
        <f t="shared" si="3"/>
        <v>802382000</v>
      </c>
      <c r="P13" s="15"/>
      <c r="Q13" s="15"/>
    </row>
    <row r="14" spans="1:17" s="7" customFormat="1" ht="66.75" customHeight="1" x14ac:dyDescent="0.35">
      <c r="A14" s="25"/>
      <c r="B14" s="38"/>
      <c r="C14" s="38"/>
      <c r="D14" s="229" t="s">
        <v>55</v>
      </c>
      <c r="E14" s="229"/>
      <c r="F14" s="15">
        <f t="shared" ref="F14" si="6">SUM(F15)</f>
        <v>544500000</v>
      </c>
      <c r="G14" s="79" t="s">
        <v>132</v>
      </c>
      <c r="H14" s="161">
        <v>7.8</v>
      </c>
      <c r="I14" s="161">
        <v>7.8</v>
      </c>
      <c r="J14" s="15">
        <v>42486500</v>
      </c>
      <c r="K14" s="161">
        <v>7.8</v>
      </c>
      <c r="L14" s="161">
        <v>7.8</v>
      </c>
      <c r="M14" s="87">
        <f t="shared" si="1"/>
        <v>0</v>
      </c>
      <c r="N14" s="87">
        <f t="shared" si="2"/>
        <v>0</v>
      </c>
      <c r="O14" s="54">
        <f t="shared" si="3"/>
        <v>502013500</v>
      </c>
      <c r="P14" s="15"/>
      <c r="Q14" s="15"/>
    </row>
    <row r="15" spans="1:17" s="7" customFormat="1" ht="63.75" customHeight="1" x14ac:dyDescent="0.35">
      <c r="A15" s="25"/>
      <c r="B15" s="38"/>
      <c r="C15" s="38"/>
      <c r="D15" s="76"/>
      <c r="E15" s="76" t="s">
        <v>56</v>
      </c>
      <c r="F15" s="39">
        <v>544500000</v>
      </c>
      <c r="G15" s="79" t="s">
        <v>132</v>
      </c>
      <c r="H15" s="161">
        <v>7.8</v>
      </c>
      <c r="I15" s="161">
        <v>7.8</v>
      </c>
      <c r="J15" s="15">
        <v>42486500</v>
      </c>
      <c r="K15" s="161">
        <v>7.8</v>
      </c>
      <c r="L15" s="161">
        <v>7.8</v>
      </c>
      <c r="M15" s="88">
        <f t="shared" si="1"/>
        <v>0</v>
      </c>
      <c r="N15" s="88">
        <f t="shared" si="2"/>
        <v>0</v>
      </c>
      <c r="O15" s="54">
        <f t="shared" si="3"/>
        <v>502013500</v>
      </c>
      <c r="P15" s="15"/>
      <c r="Q15" s="15"/>
    </row>
    <row r="16" spans="1:17" s="7" customFormat="1" ht="53.25" customHeight="1" x14ac:dyDescent="0.35">
      <c r="A16" s="25"/>
      <c r="B16" s="38"/>
      <c r="C16" s="38"/>
      <c r="D16" s="76"/>
      <c r="E16" s="75" t="s">
        <v>57</v>
      </c>
      <c r="F16" s="15">
        <f>SUM(F17)</f>
        <v>12000000</v>
      </c>
      <c r="G16" s="79" t="s">
        <v>132</v>
      </c>
      <c r="H16" s="161">
        <v>100</v>
      </c>
      <c r="I16" s="161">
        <v>100</v>
      </c>
      <c r="J16" s="15">
        <v>12000000</v>
      </c>
      <c r="K16" s="161">
        <v>100</v>
      </c>
      <c r="L16" s="161">
        <v>100</v>
      </c>
      <c r="M16" s="87">
        <f t="shared" si="1"/>
        <v>0</v>
      </c>
      <c r="N16" s="87">
        <f t="shared" si="2"/>
        <v>0</v>
      </c>
      <c r="O16" s="54">
        <f t="shared" si="3"/>
        <v>0</v>
      </c>
      <c r="P16" s="15"/>
      <c r="Q16" s="15"/>
    </row>
    <row r="17" spans="1:17" s="7" customFormat="1" ht="35.25" customHeight="1" x14ac:dyDescent="0.35">
      <c r="A17" s="25"/>
      <c r="B17" s="38"/>
      <c r="C17" s="38"/>
      <c r="D17" s="230" t="s">
        <v>58</v>
      </c>
      <c r="E17" s="230"/>
      <c r="F17" s="39">
        <v>12000000</v>
      </c>
      <c r="G17" s="79" t="s">
        <v>132</v>
      </c>
      <c r="H17" s="161">
        <v>100</v>
      </c>
      <c r="I17" s="161">
        <v>100</v>
      </c>
      <c r="J17" s="15">
        <v>12000000</v>
      </c>
      <c r="K17" s="161">
        <v>100</v>
      </c>
      <c r="L17" s="161">
        <v>100</v>
      </c>
      <c r="M17" s="88">
        <f t="shared" si="1"/>
        <v>0</v>
      </c>
      <c r="N17" s="88">
        <f t="shared" si="2"/>
        <v>0</v>
      </c>
      <c r="O17" s="54">
        <f t="shared" si="3"/>
        <v>0</v>
      </c>
      <c r="P17" s="15"/>
      <c r="Q17" s="15"/>
    </row>
    <row r="18" spans="1:17" s="7" customFormat="1" ht="51.75" customHeight="1" x14ac:dyDescent="0.35">
      <c r="A18" s="25"/>
      <c r="B18" s="38"/>
      <c r="C18" s="38"/>
      <c r="D18" s="76"/>
      <c r="E18" s="75" t="s">
        <v>13</v>
      </c>
      <c r="F18" s="15">
        <f>SUM(F19)</f>
        <v>195602180</v>
      </c>
      <c r="G18" s="79" t="s">
        <v>132</v>
      </c>
      <c r="H18" s="161">
        <v>18.5</v>
      </c>
      <c r="I18" s="161">
        <v>18.5</v>
      </c>
      <c r="J18" s="15">
        <v>36182000</v>
      </c>
      <c r="K18" s="161">
        <v>18.5</v>
      </c>
      <c r="L18" s="161">
        <v>18.5</v>
      </c>
      <c r="M18" s="87">
        <f t="shared" si="1"/>
        <v>0</v>
      </c>
      <c r="N18" s="87">
        <f t="shared" si="2"/>
        <v>0</v>
      </c>
      <c r="O18" s="54">
        <f t="shared" si="3"/>
        <v>159420180</v>
      </c>
      <c r="P18" s="15"/>
      <c r="Q18" s="15"/>
    </row>
    <row r="19" spans="1:17" s="7" customFormat="1" ht="33" customHeight="1" x14ac:dyDescent="0.35">
      <c r="A19" s="25"/>
      <c r="B19" s="38"/>
      <c r="C19" s="38"/>
      <c r="D19" s="76"/>
      <c r="E19" s="76" t="s">
        <v>59</v>
      </c>
      <c r="F19" s="39">
        <v>195602180</v>
      </c>
      <c r="G19" s="79" t="s">
        <v>132</v>
      </c>
      <c r="H19" s="161">
        <v>18.5</v>
      </c>
      <c r="I19" s="161">
        <v>18.5</v>
      </c>
      <c r="J19" s="15">
        <v>36182000</v>
      </c>
      <c r="K19" s="161">
        <v>18.5</v>
      </c>
      <c r="L19" s="161">
        <v>18.5</v>
      </c>
      <c r="M19" s="88">
        <f t="shared" si="1"/>
        <v>0</v>
      </c>
      <c r="N19" s="88">
        <f t="shared" si="2"/>
        <v>0</v>
      </c>
      <c r="O19" s="54">
        <f t="shared" si="3"/>
        <v>159420180</v>
      </c>
      <c r="P19" s="15"/>
      <c r="Q19" s="15"/>
    </row>
    <row r="20" spans="1:17" s="7" customFormat="1" ht="45.75" customHeight="1" x14ac:dyDescent="0.35">
      <c r="A20" s="25"/>
      <c r="B20" s="38"/>
      <c r="C20" s="38"/>
      <c r="D20" s="76"/>
      <c r="E20" s="76" t="s">
        <v>60</v>
      </c>
      <c r="F20" s="15">
        <f>SUM(F21)</f>
        <v>100000000</v>
      </c>
      <c r="G20" s="79" t="s">
        <v>132</v>
      </c>
      <c r="H20" s="161">
        <v>100</v>
      </c>
      <c r="I20" s="161">
        <v>100</v>
      </c>
      <c r="J20" s="15">
        <v>100000000</v>
      </c>
      <c r="K20" s="161">
        <v>100</v>
      </c>
      <c r="L20" s="161">
        <v>100</v>
      </c>
      <c r="M20" s="87">
        <f t="shared" si="1"/>
        <v>0</v>
      </c>
      <c r="N20" s="87">
        <f t="shared" si="2"/>
        <v>0</v>
      </c>
      <c r="O20" s="54">
        <f t="shared" si="3"/>
        <v>0</v>
      </c>
      <c r="P20" s="15"/>
      <c r="Q20" s="15"/>
    </row>
    <row r="21" spans="1:17" s="7" customFormat="1" ht="45.75" customHeight="1" x14ac:dyDescent="0.35">
      <c r="A21" s="25"/>
      <c r="B21" s="38"/>
      <c r="C21" s="38"/>
      <c r="D21" s="76"/>
      <c r="E21" s="76" t="s">
        <v>61</v>
      </c>
      <c r="F21" s="39">
        <v>100000000</v>
      </c>
      <c r="G21" s="79" t="s">
        <v>132</v>
      </c>
      <c r="H21" s="161">
        <v>100</v>
      </c>
      <c r="I21" s="161">
        <v>100</v>
      </c>
      <c r="J21" s="15">
        <v>100000000</v>
      </c>
      <c r="K21" s="161">
        <v>100</v>
      </c>
      <c r="L21" s="161">
        <v>100</v>
      </c>
      <c r="M21" s="88">
        <f t="shared" si="1"/>
        <v>0</v>
      </c>
      <c r="N21" s="88">
        <f t="shared" si="2"/>
        <v>0</v>
      </c>
      <c r="O21" s="54">
        <f t="shared" si="3"/>
        <v>0</v>
      </c>
      <c r="P21" s="15"/>
      <c r="Q21" s="15"/>
    </row>
    <row r="22" spans="1:17" s="7" customFormat="1" ht="45.75" customHeight="1" x14ac:dyDescent="0.35">
      <c r="A22" s="25"/>
      <c r="B22" s="38"/>
      <c r="C22" s="38"/>
      <c r="D22" s="76"/>
      <c r="E22" s="75" t="s">
        <v>14</v>
      </c>
      <c r="F22" s="15">
        <f t="shared" ref="F22" si="7">SUM(F23)</f>
        <v>37000000</v>
      </c>
      <c r="G22" s="79" t="s">
        <v>132</v>
      </c>
      <c r="H22" s="161">
        <v>23.11</v>
      </c>
      <c r="I22" s="161">
        <v>23.11</v>
      </c>
      <c r="J22" s="15">
        <v>8549800</v>
      </c>
      <c r="K22" s="161">
        <v>23.11</v>
      </c>
      <c r="L22" s="161">
        <v>23.11</v>
      </c>
      <c r="M22" s="87">
        <f t="shared" si="1"/>
        <v>0</v>
      </c>
      <c r="N22" s="87">
        <f t="shared" si="2"/>
        <v>0</v>
      </c>
      <c r="O22" s="54">
        <f t="shared" si="3"/>
        <v>28450200</v>
      </c>
      <c r="P22" s="15"/>
      <c r="Q22" s="15"/>
    </row>
    <row r="23" spans="1:17" s="7" customFormat="1" ht="45.75" customHeight="1" x14ac:dyDescent="0.35">
      <c r="A23" s="25"/>
      <c r="B23" s="38"/>
      <c r="C23" s="38"/>
      <c r="D23" s="76"/>
      <c r="E23" s="76" t="s">
        <v>62</v>
      </c>
      <c r="F23" s="39">
        <v>37000000</v>
      </c>
      <c r="G23" s="79" t="s">
        <v>132</v>
      </c>
      <c r="H23" s="161">
        <v>23.11</v>
      </c>
      <c r="I23" s="161">
        <v>23.11</v>
      </c>
      <c r="J23" s="15">
        <v>8549800</v>
      </c>
      <c r="K23" s="161">
        <v>23.11</v>
      </c>
      <c r="L23" s="161">
        <v>23.11</v>
      </c>
      <c r="M23" s="88">
        <f t="shared" si="1"/>
        <v>0</v>
      </c>
      <c r="N23" s="88">
        <f t="shared" si="2"/>
        <v>0</v>
      </c>
      <c r="O23" s="54">
        <f t="shared" si="3"/>
        <v>28450200</v>
      </c>
      <c r="P23" s="15"/>
      <c r="Q23" s="15"/>
    </row>
    <row r="24" spans="1:17" s="7" customFormat="1" ht="45.75" customHeight="1" x14ac:dyDescent="0.35">
      <c r="A24" s="25" t="s">
        <v>69</v>
      </c>
      <c r="B24" s="231" t="s">
        <v>67</v>
      </c>
      <c r="C24" s="231"/>
      <c r="D24" s="231"/>
      <c r="E24" s="231"/>
      <c r="F24" s="15">
        <f t="shared" ref="F24" si="8">F25+F47</f>
        <v>24490093655</v>
      </c>
      <c r="G24" s="79" t="s">
        <v>132</v>
      </c>
      <c r="H24" s="161">
        <v>94.54</v>
      </c>
      <c r="I24" s="161">
        <v>94.54</v>
      </c>
      <c r="J24" s="15">
        <v>23151930191</v>
      </c>
      <c r="K24" s="161">
        <v>94.54</v>
      </c>
      <c r="L24" s="161">
        <v>94.54</v>
      </c>
      <c r="M24" s="87">
        <f t="shared" si="1"/>
        <v>0</v>
      </c>
      <c r="N24" s="87">
        <f t="shared" si="2"/>
        <v>0</v>
      </c>
      <c r="O24" s="54">
        <f t="shared" si="3"/>
        <v>1338163464</v>
      </c>
      <c r="P24" s="15"/>
      <c r="Q24" s="15"/>
    </row>
    <row r="25" spans="1:17" s="7" customFormat="1" ht="45.75" customHeight="1" x14ac:dyDescent="0.35">
      <c r="A25" s="78" t="s">
        <v>3</v>
      </c>
      <c r="B25" s="231" t="s">
        <v>18</v>
      </c>
      <c r="C25" s="231"/>
      <c r="D25" s="231"/>
      <c r="E25" s="231"/>
      <c r="F25" s="54">
        <f>F26</f>
        <v>5089244255</v>
      </c>
      <c r="G25" s="79" t="s">
        <v>132</v>
      </c>
      <c r="H25" s="161">
        <v>94.54</v>
      </c>
      <c r="I25" s="161">
        <v>94.54</v>
      </c>
      <c r="J25" s="15">
        <v>4802185110</v>
      </c>
      <c r="K25" s="161">
        <v>94.54</v>
      </c>
      <c r="L25" s="161">
        <v>94.54</v>
      </c>
      <c r="M25" s="87">
        <f t="shared" si="1"/>
        <v>0</v>
      </c>
      <c r="N25" s="87">
        <f t="shared" si="2"/>
        <v>0</v>
      </c>
      <c r="O25" s="54">
        <f t="shared" si="3"/>
        <v>287059145</v>
      </c>
      <c r="P25" s="15"/>
      <c r="Q25" s="15"/>
    </row>
    <row r="26" spans="1:17" s="7" customFormat="1" ht="45.75" customHeight="1" x14ac:dyDescent="0.35">
      <c r="A26" s="26"/>
      <c r="B26" s="77"/>
      <c r="C26" s="231" t="s">
        <v>19</v>
      </c>
      <c r="D26" s="231"/>
      <c r="E26" s="231"/>
      <c r="F26" s="54">
        <f t="shared" ref="F26" si="9">F27+F37+F40</f>
        <v>5089244255</v>
      </c>
      <c r="G26" s="79" t="s">
        <v>132</v>
      </c>
      <c r="H26" s="161">
        <v>94.36</v>
      </c>
      <c r="I26" s="161">
        <v>94.36</v>
      </c>
      <c r="J26" s="15">
        <v>4802185110</v>
      </c>
      <c r="K26" s="161">
        <v>94.36</v>
      </c>
      <c r="L26" s="161">
        <v>94.36</v>
      </c>
      <c r="M26" s="87">
        <f t="shared" si="1"/>
        <v>0</v>
      </c>
      <c r="N26" s="87">
        <f t="shared" si="2"/>
        <v>0</v>
      </c>
      <c r="O26" s="54">
        <f t="shared" si="3"/>
        <v>287059145</v>
      </c>
      <c r="P26" s="15"/>
      <c r="Q26" s="15"/>
    </row>
    <row r="27" spans="1:17" s="7" customFormat="1" ht="45.75" customHeight="1" x14ac:dyDescent="0.35">
      <c r="A27" s="26"/>
      <c r="B27" s="77"/>
      <c r="C27" s="77"/>
      <c r="D27" s="231" t="s">
        <v>63</v>
      </c>
      <c r="E27" s="231"/>
      <c r="F27" s="41">
        <f t="shared" ref="F27" si="10">SUM(F28:F36)</f>
        <v>2532113646</v>
      </c>
      <c r="G27" s="79" t="s">
        <v>132</v>
      </c>
      <c r="H27" s="161">
        <v>95.26</v>
      </c>
      <c r="I27" s="161">
        <v>95.26</v>
      </c>
      <c r="J27" s="41">
        <v>2412175110</v>
      </c>
      <c r="K27" s="161">
        <v>95.26</v>
      </c>
      <c r="L27" s="161">
        <v>95.26</v>
      </c>
      <c r="M27" s="87">
        <f t="shared" si="1"/>
        <v>0</v>
      </c>
      <c r="N27" s="87">
        <f t="shared" si="2"/>
        <v>0</v>
      </c>
      <c r="O27" s="54">
        <f t="shared" si="3"/>
        <v>119938536</v>
      </c>
      <c r="P27" s="15"/>
      <c r="Q27" s="15"/>
    </row>
    <row r="28" spans="1:17" s="7" customFormat="1" ht="45.75" customHeight="1" x14ac:dyDescent="0.35">
      <c r="A28" s="26"/>
      <c r="B28" s="77"/>
      <c r="C28" s="77"/>
      <c r="D28" s="77"/>
      <c r="E28" s="42" t="s">
        <v>20</v>
      </c>
      <c r="F28" s="43">
        <v>1907991806</v>
      </c>
      <c r="G28" s="79" t="s">
        <v>132</v>
      </c>
      <c r="H28" s="161">
        <v>95.33</v>
      </c>
      <c r="I28" s="161">
        <v>95.33</v>
      </c>
      <c r="J28" s="15">
        <v>1818802420</v>
      </c>
      <c r="K28" s="161">
        <v>95.33</v>
      </c>
      <c r="L28" s="161">
        <v>95.33</v>
      </c>
      <c r="M28" s="88">
        <f t="shared" si="1"/>
        <v>0</v>
      </c>
      <c r="N28" s="88">
        <f t="shared" si="2"/>
        <v>0</v>
      </c>
      <c r="O28" s="54">
        <f t="shared" si="3"/>
        <v>89189386</v>
      </c>
      <c r="P28" s="15"/>
      <c r="Q28" s="15"/>
    </row>
    <row r="29" spans="1:17" s="7" customFormat="1" ht="45.75" customHeight="1" x14ac:dyDescent="0.35">
      <c r="A29" s="26"/>
      <c r="B29" s="77"/>
      <c r="C29" s="77"/>
      <c r="D29" s="77"/>
      <c r="E29" s="42" t="s">
        <v>21</v>
      </c>
      <c r="F29" s="43">
        <v>187399247</v>
      </c>
      <c r="G29" s="79" t="s">
        <v>132</v>
      </c>
      <c r="H29" s="161">
        <v>95.01</v>
      </c>
      <c r="I29" s="161">
        <v>95.01</v>
      </c>
      <c r="J29" s="15">
        <v>178047449</v>
      </c>
      <c r="K29" s="161">
        <v>95.01</v>
      </c>
      <c r="L29" s="161">
        <v>95.01</v>
      </c>
      <c r="M29" s="88">
        <f t="shared" si="1"/>
        <v>0</v>
      </c>
      <c r="N29" s="88">
        <f t="shared" si="2"/>
        <v>0</v>
      </c>
      <c r="O29" s="54">
        <f t="shared" si="3"/>
        <v>9351798</v>
      </c>
      <c r="P29" s="15"/>
      <c r="Q29" s="15"/>
    </row>
    <row r="30" spans="1:17" s="7" customFormat="1" ht="45.75" customHeight="1" x14ac:dyDescent="0.35">
      <c r="A30" s="26"/>
      <c r="B30" s="77"/>
      <c r="C30" s="77"/>
      <c r="D30" s="77"/>
      <c r="E30" s="42" t="s">
        <v>22</v>
      </c>
      <c r="F30" s="43">
        <v>246358750</v>
      </c>
      <c r="G30" s="79" t="s">
        <v>132</v>
      </c>
      <c r="H30" s="161">
        <v>94.86</v>
      </c>
      <c r="I30" s="161">
        <v>94.86</v>
      </c>
      <c r="J30" s="15">
        <v>233690000</v>
      </c>
      <c r="K30" s="161">
        <v>94.86</v>
      </c>
      <c r="L30" s="161">
        <v>94.86</v>
      </c>
      <c r="M30" s="88">
        <f t="shared" si="1"/>
        <v>0</v>
      </c>
      <c r="N30" s="88">
        <f t="shared" si="2"/>
        <v>0</v>
      </c>
      <c r="O30" s="54">
        <f t="shared" si="3"/>
        <v>12668750</v>
      </c>
      <c r="P30" s="15"/>
      <c r="Q30" s="15"/>
    </row>
    <row r="31" spans="1:17" s="4" customFormat="1" ht="31.5" customHeight="1" x14ac:dyDescent="0.35">
      <c r="A31" s="26"/>
      <c r="B31" s="77"/>
      <c r="C31" s="77"/>
      <c r="D31" s="77"/>
      <c r="E31" s="42" t="s">
        <v>23</v>
      </c>
      <c r="F31" s="43">
        <v>29971000</v>
      </c>
      <c r="G31" s="79" t="s">
        <v>132</v>
      </c>
      <c r="H31" s="162">
        <v>95.68</v>
      </c>
      <c r="I31" s="162">
        <v>95.68</v>
      </c>
      <c r="J31" s="15">
        <v>28675000</v>
      </c>
      <c r="K31" s="162">
        <v>95.68</v>
      </c>
      <c r="L31" s="162">
        <v>95.68</v>
      </c>
      <c r="M31" s="88">
        <f t="shared" si="1"/>
        <v>0</v>
      </c>
      <c r="N31" s="88">
        <f t="shared" si="2"/>
        <v>0</v>
      </c>
      <c r="O31" s="54">
        <f t="shared" si="3"/>
        <v>1296000</v>
      </c>
      <c r="P31" s="15"/>
      <c r="Q31" s="15"/>
    </row>
    <row r="32" spans="1:17" s="4" customFormat="1" ht="27.25" customHeight="1" x14ac:dyDescent="0.35">
      <c r="A32" s="26"/>
      <c r="B32" s="77"/>
      <c r="C32" s="77"/>
      <c r="D32" s="77"/>
      <c r="E32" s="42" t="s">
        <v>24</v>
      </c>
      <c r="F32" s="43">
        <v>87517760</v>
      </c>
      <c r="G32" s="79" t="s">
        <v>132</v>
      </c>
      <c r="H32" s="162">
        <v>95</v>
      </c>
      <c r="I32" s="162">
        <v>95</v>
      </c>
      <c r="J32" s="15">
        <v>83138160</v>
      </c>
      <c r="K32" s="162">
        <v>95</v>
      </c>
      <c r="L32" s="162">
        <v>95</v>
      </c>
      <c r="M32" s="88">
        <f t="shared" si="1"/>
        <v>0</v>
      </c>
      <c r="N32" s="88">
        <f t="shared" si="2"/>
        <v>0</v>
      </c>
      <c r="O32" s="54">
        <f t="shared" si="3"/>
        <v>4379600</v>
      </c>
      <c r="P32" s="15"/>
      <c r="Q32" s="15"/>
    </row>
    <row r="33" spans="1:17" s="4" customFormat="1" ht="27.25" customHeight="1" x14ac:dyDescent="0.35">
      <c r="A33" s="26"/>
      <c r="B33" s="77"/>
      <c r="C33" s="77"/>
      <c r="D33" s="77"/>
      <c r="E33" s="42" t="s">
        <v>25</v>
      </c>
      <c r="F33" s="43">
        <v>4008830</v>
      </c>
      <c r="G33" s="79" t="s">
        <v>132</v>
      </c>
      <c r="H33" s="162">
        <v>95.75</v>
      </c>
      <c r="I33" s="162">
        <v>95.75</v>
      </c>
      <c r="J33" s="15">
        <v>3838439</v>
      </c>
      <c r="K33" s="162">
        <v>95.75</v>
      </c>
      <c r="L33" s="162">
        <v>95.75</v>
      </c>
      <c r="M33" s="88">
        <f t="shared" si="1"/>
        <v>0</v>
      </c>
      <c r="N33" s="88">
        <f t="shared" si="2"/>
        <v>0</v>
      </c>
      <c r="O33" s="54">
        <f t="shared" si="3"/>
        <v>170391</v>
      </c>
      <c r="P33" s="15"/>
      <c r="Q33" s="15"/>
    </row>
    <row r="34" spans="1:17" s="4" customFormat="1" ht="27.25" customHeight="1" x14ac:dyDescent="0.35">
      <c r="A34" s="26"/>
      <c r="B34" s="77"/>
      <c r="C34" s="77"/>
      <c r="D34" s="77"/>
      <c r="E34" s="42" t="s">
        <v>26</v>
      </c>
      <c r="F34" s="43">
        <v>24872</v>
      </c>
      <c r="G34" s="79" t="s">
        <v>132</v>
      </c>
      <c r="H34" s="162">
        <v>96.71</v>
      </c>
      <c r="I34" s="162">
        <v>96.71</v>
      </c>
      <c r="J34" s="15">
        <v>24053</v>
      </c>
      <c r="K34" s="162">
        <v>96.71</v>
      </c>
      <c r="L34" s="162">
        <v>96.71</v>
      </c>
      <c r="M34" s="88">
        <f t="shared" si="1"/>
        <v>0</v>
      </c>
      <c r="N34" s="88">
        <f t="shared" si="2"/>
        <v>0</v>
      </c>
      <c r="O34" s="54">
        <f t="shared" si="3"/>
        <v>819</v>
      </c>
      <c r="P34" s="15"/>
      <c r="Q34" s="15"/>
    </row>
    <row r="35" spans="1:17" s="4" customFormat="1" ht="27.25" customHeight="1" x14ac:dyDescent="0.35">
      <c r="A35" s="26"/>
      <c r="B35" s="77"/>
      <c r="C35" s="77"/>
      <c r="D35" s="77"/>
      <c r="E35" s="42" t="s">
        <v>64</v>
      </c>
      <c r="F35" s="43">
        <v>53304787</v>
      </c>
      <c r="G35" s="79" t="s">
        <v>132</v>
      </c>
      <c r="H35" s="162">
        <v>96.07</v>
      </c>
      <c r="I35" s="162">
        <v>96.07</v>
      </c>
      <c r="J35" s="15">
        <v>51211400</v>
      </c>
      <c r="K35" s="162">
        <v>96.07</v>
      </c>
      <c r="L35" s="162">
        <v>96.07</v>
      </c>
      <c r="M35" s="88">
        <f t="shared" si="1"/>
        <v>0</v>
      </c>
      <c r="N35" s="88">
        <f t="shared" si="2"/>
        <v>0</v>
      </c>
      <c r="O35" s="54">
        <f t="shared" si="3"/>
        <v>2093387</v>
      </c>
      <c r="P35" s="15"/>
      <c r="Q35" s="15"/>
    </row>
    <row r="36" spans="1:17" s="4" customFormat="1" ht="41.25" customHeight="1" x14ac:dyDescent="0.35">
      <c r="A36" s="26"/>
      <c r="B36" s="77"/>
      <c r="C36" s="77"/>
      <c r="D36" s="77"/>
      <c r="E36" s="42" t="s">
        <v>43</v>
      </c>
      <c r="F36" s="43">
        <v>15536594</v>
      </c>
      <c r="G36" s="79" t="s">
        <v>132</v>
      </c>
      <c r="H36" s="162">
        <v>94.93</v>
      </c>
      <c r="I36" s="162">
        <v>94.93</v>
      </c>
      <c r="J36" s="15">
        <v>14748189</v>
      </c>
      <c r="K36" s="162">
        <v>94.93</v>
      </c>
      <c r="L36" s="162">
        <v>94.93</v>
      </c>
      <c r="M36" s="88">
        <f t="shared" si="1"/>
        <v>0</v>
      </c>
      <c r="N36" s="88">
        <f t="shared" si="2"/>
        <v>0</v>
      </c>
      <c r="O36" s="54">
        <f t="shared" si="3"/>
        <v>788405</v>
      </c>
      <c r="P36" s="15"/>
      <c r="Q36" s="15"/>
    </row>
    <row r="37" spans="1:17" s="4" customFormat="1" ht="33" customHeight="1" x14ac:dyDescent="0.35">
      <c r="A37" s="26"/>
      <c r="B37" s="77"/>
      <c r="C37" s="77"/>
      <c r="D37" s="231" t="s">
        <v>27</v>
      </c>
      <c r="E37" s="231"/>
      <c r="F37" s="41">
        <f t="shared" ref="F37" si="11">SUM(F38:F39)</f>
        <v>2446112000</v>
      </c>
      <c r="G37" s="79" t="s">
        <v>132</v>
      </c>
      <c r="H37" s="162">
        <v>97.71</v>
      </c>
      <c r="I37" s="162">
        <v>97.71</v>
      </c>
      <c r="J37" s="41">
        <v>2390010000</v>
      </c>
      <c r="K37" s="162">
        <v>97.71</v>
      </c>
      <c r="L37" s="162">
        <v>97.71</v>
      </c>
      <c r="M37" s="87">
        <f t="shared" si="1"/>
        <v>0</v>
      </c>
      <c r="N37" s="87">
        <f t="shared" si="2"/>
        <v>0</v>
      </c>
      <c r="O37" s="54">
        <f t="shared" si="3"/>
        <v>56102000</v>
      </c>
      <c r="P37" s="15"/>
      <c r="Q37" s="15"/>
    </row>
    <row r="38" spans="1:17" s="4" customFormat="1" ht="34.5" customHeight="1" x14ac:dyDescent="0.35">
      <c r="A38" s="26"/>
      <c r="B38" s="77"/>
      <c r="C38" s="77"/>
      <c r="D38" s="77"/>
      <c r="E38" s="42" t="s">
        <v>28</v>
      </c>
      <c r="F38" s="43">
        <v>2326012000</v>
      </c>
      <c r="G38" s="79" t="s">
        <v>132</v>
      </c>
      <c r="H38" s="162">
        <v>97.59</v>
      </c>
      <c r="I38" s="162">
        <v>97.59</v>
      </c>
      <c r="J38" s="15">
        <v>2269910000</v>
      </c>
      <c r="K38" s="162">
        <v>97.59</v>
      </c>
      <c r="L38" s="162">
        <v>97.59</v>
      </c>
      <c r="M38" s="88">
        <f t="shared" si="1"/>
        <v>0</v>
      </c>
      <c r="N38" s="88">
        <f t="shared" si="2"/>
        <v>0</v>
      </c>
      <c r="O38" s="54">
        <f t="shared" si="3"/>
        <v>56102000</v>
      </c>
      <c r="P38" s="15"/>
      <c r="Q38" s="15"/>
    </row>
    <row r="39" spans="1:17" s="4" customFormat="1" ht="27.25" customHeight="1" x14ac:dyDescent="0.35">
      <c r="A39" s="26"/>
      <c r="B39" s="77"/>
      <c r="C39" s="77"/>
      <c r="D39" s="77"/>
      <c r="E39" s="42" t="s">
        <v>42</v>
      </c>
      <c r="F39" s="43">
        <v>120100000</v>
      </c>
      <c r="G39" s="79" t="s">
        <v>132</v>
      </c>
      <c r="H39" s="162">
        <v>100</v>
      </c>
      <c r="I39" s="162">
        <v>100</v>
      </c>
      <c r="J39" s="15">
        <v>120100000</v>
      </c>
      <c r="K39" s="162">
        <v>100</v>
      </c>
      <c r="L39" s="162">
        <v>100</v>
      </c>
      <c r="M39" s="88">
        <f t="shared" si="1"/>
        <v>0</v>
      </c>
      <c r="N39" s="88">
        <f t="shared" si="2"/>
        <v>0</v>
      </c>
      <c r="O39" s="54">
        <f t="shared" si="3"/>
        <v>0</v>
      </c>
      <c r="P39" s="15"/>
      <c r="Q39" s="15"/>
    </row>
    <row r="40" spans="1:17" s="4" customFormat="1" ht="27.25" customHeight="1" x14ac:dyDescent="0.35">
      <c r="A40" s="26"/>
      <c r="B40" s="77"/>
      <c r="C40" s="77"/>
      <c r="D40" s="231" t="s">
        <v>65</v>
      </c>
      <c r="E40" s="231"/>
      <c r="F40" s="41">
        <f>SUM(F41:F46)</f>
        <v>111018609</v>
      </c>
      <c r="G40" s="79" t="s">
        <v>132</v>
      </c>
      <c r="H40" s="162">
        <v>0</v>
      </c>
      <c r="I40" s="162">
        <v>0</v>
      </c>
      <c r="J40" s="15">
        <v>0</v>
      </c>
      <c r="K40" s="162">
        <v>0</v>
      </c>
      <c r="L40" s="162">
        <v>0</v>
      </c>
      <c r="M40" s="87">
        <f t="shared" si="1"/>
        <v>0</v>
      </c>
      <c r="N40" s="87">
        <f t="shared" si="2"/>
        <v>0</v>
      </c>
      <c r="O40" s="54">
        <f t="shared" si="3"/>
        <v>111018609</v>
      </c>
      <c r="P40" s="15"/>
      <c r="Q40" s="15"/>
    </row>
    <row r="41" spans="1:17" s="4" customFormat="1" ht="47.25" customHeight="1" x14ac:dyDescent="0.35">
      <c r="A41" s="26"/>
      <c r="B41" s="77"/>
      <c r="C41" s="77"/>
      <c r="D41" s="77"/>
      <c r="E41" s="44" t="s">
        <v>112</v>
      </c>
      <c r="F41" s="43">
        <v>66563500</v>
      </c>
      <c r="G41" s="79" t="s">
        <v>132</v>
      </c>
      <c r="H41" s="162">
        <v>0</v>
      </c>
      <c r="I41" s="162">
        <v>0</v>
      </c>
      <c r="J41" s="15">
        <v>0</v>
      </c>
      <c r="K41" s="162">
        <v>0</v>
      </c>
      <c r="L41" s="162">
        <v>0</v>
      </c>
      <c r="M41" s="88">
        <f t="shared" si="1"/>
        <v>0</v>
      </c>
      <c r="N41" s="88">
        <f t="shared" si="2"/>
        <v>0</v>
      </c>
      <c r="O41" s="54">
        <f t="shared" si="3"/>
        <v>66563500</v>
      </c>
      <c r="P41" s="15"/>
      <c r="Q41" s="15"/>
    </row>
    <row r="42" spans="1:17" s="4" customFormat="1" ht="47.25" customHeight="1" x14ac:dyDescent="0.35">
      <c r="A42" s="26"/>
      <c r="B42" s="77"/>
      <c r="C42" s="77"/>
      <c r="D42" s="77"/>
      <c r="E42" s="44" t="s">
        <v>113</v>
      </c>
      <c r="F42" s="43">
        <v>27225000</v>
      </c>
      <c r="G42" s="79" t="s">
        <v>132</v>
      </c>
      <c r="H42" s="162">
        <v>0</v>
      </c>
      <c r="I42" s="162">
        <v>0</v>
      </c>
      <c r="J42" s="15">
        <v>0</v>
      </c>
      <c r="K42" s="162">
        <v>0</v>
      </c>
      <c r="L42" s="162">
        <v>0</v>
      </c>
      <c r="M42" s="88">
        <f t="shared" si="1"/>
        <v>0</v>
      </c>
      <c r="N42" s="88">
        <f t="shared" si="2"/>
        <v>0</v>
      </c>
      <c r="O42" s="54">
        <f t="shared" si="3"/>
        <v>27225000</v>
      </c>
      <c r="P42" s="15"/>
      <c r="Q42" s="15"/>
    </row>
    <row r="43" spans="1:17" s="4" customFormat="1" ht="47.25" customHeight="1" x14ac:dyDescent="0.35">
      <c r="A43" s="26"/>
      <c r="B43" s="77"/>
      <c r="C43" s="77"/>
      <c r="D43" s="77"/>
      <c r="E43" s="44" t="s">
        <v>114</v>
      </c>
      <c r="F43" s="43">
        <v>600000</v>
      </c>
      <c r="G43" s="79" t="s">
        <v>132</v>
      </c>
      <c r="H43" s="162">
        <v>0</v>
      </c>
      <c r="I43" s="162">
        <v>0</v>
      </c>
      <c r="J43" s="15">
        <v>0</v>
      </c>
      <c r="K43" s="162">
        <v>0</v>
      </c>
      <c r="L43" s="162">
        <v>0</v>
      </c>
      <c r="M43" s="88">
        <f t="shared" si="1"/>
        <v>0</v>
      </c>
      <c r="N43" s="88">
        <f t="shared" si="2"/>
        <v>0</v>
      </c>
      <c r="O43" s="54">
        <f t="shared" si="3"/>
        <v>600000</v>
      </c>
      <c r="P43" s="15"/>
      <c r="Q43" s="15"/>
    </row>
    <row r="44" spans="1:17" s="4" customFormat="1" ht="47.25" customHeight="1" x14ac:dyDescent="0.35">
      <c r="A44" s="26"/>
      <c r="B44" s="77"/>
      <c r="C44" s="77"/>
      <c r="D44" s="77"/>
      <c r="E44" s="44" t="s">
        <v>115</v>
      </c>
      <c r="F44" s="43">
        <v>9780109</v>
      </c>
      <c r="G44" s="79" t="s">
        <v>132</v>
      </c>
      <c r="H44" s="162">
        <v>0</v>
      </c>
      <c r="I44" s="162">
        <v>0</v>
      </c>
      <c r="J44" s="15">
        <v>0</v>
      </c>
      <c r="K44" s="162">
        <v>0</v>
      </c>
      <c r="L44" s="162">
        <v>0</v>
      </c>
      <c r="M44" s="88">
        <f t="shared" si="1"/>
        <v>0</v>
      </c>
      <c r="N44" s="88">
        <f t="shared" si="2"/>
        <v>0</v>
      </c>
      <c r="O44" s="54">
        <f t="shared" si="3"/>
        <v>9780109</v>
      </c>
      <c r="P44" s="15"/>
      <c r="Q44" s="15"/>
    </row>
    <row r="45" spans="1:17" s="4" customFormat="1" ht="47.25" customHeight="1" x14ac:dyDescent="0.35">
      <c r="A45" s="26"/>
      <c r="B45" s="77"/>
      <c r="C45" s="77"/>
      <c r="D45" s="77"/>
      <c r="E45" s="44" t="s">
        <v>116</v>
      </c>
      <c r="F45" s="43">
        <v>5000000</v>
      </c>
      <c r="G45" s="79" t="s">
        <v>132</v>
      </c>
      <c r="H45" s="162">
        <v>0</v>
      </c>
      <c r="I45" s="162">
        <v>0</v>
      </c>
      <c r="J45" s="15">
        <v>0</v>
      </c>
      <c r="K45" s="162">
        <v>0</v>
      </c>
      <c r="L45" s="162">
        <v>0</v>
      </c>
      <c r="M45" s="88">
        <f t="shared" si="1"/>
        <v>0</v>
      </c>
      <c r="N45" s="88">
        <f t="shared" si="2"/>
        <v>0</v>
      </c>
      <c r="O45" s="54">
        <f t="shared" si="3"/>
        <v>5000000</v>
      </c>
      <c r="P45" s="15"/>
      <c r="Q45" s="15"/>
    </row>
    <row r="46" spans="1:17" s="4" customFormat="1" ht="47.25" customHeight="1" x14ac:dyDescent="0.35">
      <c r="A46" s="26"/>
      <c r="B46" s="77"/>
      <c r="C46" s="77"/>
      <c r="D46" s="77"/>
      <c r="E46" s="44" t="s">
        <v>117</v>
      </c>
      <c r="F46" s="43">
        <v>1850000</v>
      </c>
      <c r="G46" s="79" t="s">
        <v>132</v>
      </c>
      <c r="H46" s="162">
        <v>0</v>
      </c>
      <c r="I46" s="162">
        <v>0</v>
      </c>
      <c r="J46" s="15">
        <v>0</v>
      </c>
      <c r="K46" s="162">
        <v>0</v>
      </c>
      <c r="L46" s="162">
        <v>0</v>
      </c>
      <c r="M46" s="88">
        <f t="shared" si="1"/>
        <v>0</v>
      </c>
      <c r="N46" s="88">
        <f t="shared" si="2"/>
        <v>0</v>
      </c>
      <c r="O46" s="54">
        <f t="shared" si="3"/>
        <v>1850000</v>
      </c>
      <c r="P46" s="15"/>
      <c r="Q46" s="15"/>
    </row>
    <row r="47" spans="1:17" s="4" customFormat="1" ht="32.25" customHeight="1" x14ac:dyDescent="0.35">
      <c r="A47" s="56" t="s">
        <v>70</v>
      </c>
      <c r="B47" s="231" t="s">
        <v>29</v>
      </c>
      <c r="C47" s="231"/>
      <c r="D47" s="231"/>
      <c r="E47" s="231"/>
      <c r="F47" s="68">
        <f>F48+F57+F60+F64+F74+F78+F82</f>
        <v>19400849400</v>
      </c>
      <c r="G47" s="79" t="s">
        <v>132</v>
      </c>
      <c r="H47" s="162">
        <v>94.58</v>
      </c>
      <c r="I47" s="162">
        <v>94.58</v>
      </c>
      <c r="J47" s="68">
        <v>18349745081</v>
      </c>
      <c r="K47" s="162">
        <v>94.58</v>
      </c>
      <c r="L47" s="162">
        <v>94.58</v>
      </c>
      <c r="M47" s="87">
        <f t="shared" si="1"/>
        <v>0</v>
      </c>
      <c r="N47" s="87">
        <f t="shared" si="2"/>
        <v>0</v>
      </c>
      <c r="O47" s="54">
        <f t="shared" si="3"/>
        <v>1051104319</v>
      </c>
      <c r="P47" s="15"/>
      <c r="Q47" s="15"/>
    </row>
    <row r="48" spans="1:17" s="4" customFormat="1" ht="35.25" customHeight="1" x14ac:dyDescent="0.35">
      <c r="A48" s="57" t="s">
        <v>3</v>
      </c>
      <c r="B48" s="223" t="s">
        <v>72</v>
      </c>
      <c r="C48" s="223"/>
      <c r="D48" s="223"/>
      <c r="E48" s="223"/>
      <c r="F48" s="45">
        <f>SUM(F49:F56)</f>
        <v>2961790000</v>
      </c>
      <c r="G48" s="79" t="s">
        <v>132</v>
      </c>
      <c r="H48" s="162">
        <v>96.36</v>
      </c>
      <c r="I48" s="162">
        <v>96.36</v>
      </c>
      <c r="J48" s="45">
        <v>2853850437</v>
      </c>
      <c r="K48" s="162">
        <v>96.36</v>
      </c>
      <c r="L48" s="162">
        <v>96.36</v>
      </c>
      <c r="M48" s="87">
        <f t="shared" si="1"/>
        <v>0</v>
      </c>
      <c r="N48" s="87">
        <f t="shared" si="2"/>
        <v>0</v>
      </c>
      <c r="O48" s="54">
        <f t="shared" si="3"/>
        <v>107939563</v>
      </c>
      <c r="P48" s="15"/>
      <c r="Q48" s="15"/>
    </row>
    <row r="49" spans="1:21" s="4" customFormat="1" ht="27" customHeight="1" x14ac:dyDescent="0.35">
      <c r="A49" s="27"/>
      <c r="B49" s="46"/>
      <c r="C49" s="48" t="s">
        <v>30</v>
      </c>
      <c r="D49" s="226" t="s">
        <v>74</v>
      </c>
      <c r="E49" s="226"/>
      <c r="F49" s="58">
        <v>703500000</v>
      </c>
      <c r="G49" s="79" t="s">
        <v>132</v>
      </c>
      <c r="H49" s="162">
        <v>91.77</v>
      </c>
      <c r="I49" s="162">
        <v>91.77</v>
      </c>
      <c r="J49" s="15">
        <v>645599408</v>
      </c>
      <c r="K49" s="162">
        <v>91.77</v>
      </c>
      <c r="L49" s="162">
        <v>91.77</v>
      </c>
      <c r="M49" s="88">
        <f t="shared" si="1"/>
        <v>0</v>
      </c>
      <c r="N49" s="88">
        <f t="shared" si="2"/>
        <v>0</v>
      </c>
      <c r="O49" s="54">
        <f t="shared" si="3"/>
        <v>57900592</v>
      </c>
      <c r="P49" s="15"/>
      <c r="Q49" s="15"/>
    </row>
    <row r="50" spans="1:21" s="4" customFormat="1" ht="66.75" customHeight="1" x14ac:dyDescent="0.35">
      <c r="A50" s="27"/>
      <c r="B50" s="46"/>
      <c r="C50" s="48" t="s">
        <v>31</v>
      </c>
      <c r="D50" s="226" t="s">
        <v>73</v>
      </c>
      <c r="E50" s="226"/>
      <c r="F50" s="58">
        <v>858210000</v>
      </c>
      <c r="G50" s="79" t="s">
        <v>132</v>
      </c>
      <c r="H50" s="163">
        <v>69.92</v>
      </c>
      <c r="I50" s="163">
        <v>69.92</v>
      </c>
      <c r="J50" s="15">
        <v>831818200</v>
      </c>
      <c r="K50" s="163">
        <v>69.92</v>
      </c>
      <c r="L50" s="163">
        <v>69.92</v>
      </c>
      <c r="M50" s="88">
        <f t="shared" si="1"/>
        <v>0</v>
      </c>
      <c r="N50" s="88">
        <f t="shared" si="2"/>
        <v>0</v>
      </c>
      <c r="O50" s="54">
        <f t="shared" si="3"/>
        <v>26391800</v>
      </c>
      <c r="P50" s="15"/>
      <c r="Q50" s="15"/>
    </row>
    <row r="51" spans="1:21" s="9" customFormat="1" ht="27.25" customHeight="1" x14ac:dyDescent="0.35">
      <c r="A51" s="19"/>
      <c r="B51" s="46"/>
      <c r="C51" s="48" t="s">
        <v>32</v>
      </c>
      <c r="D51" s="226" t="s">
        <v>75</v>
      </c>
      <c r="E51" s="226"/>
      <c r="F51" s="59">
        <v>530000000</v>
      </c>
      <c r="G51" s="79" t="s">
        <v>132</v>
      </c>
      <c r="H51" s="164">
        <v>99.38</v>
      </c>
      <c r="I51" s="164">
        <v>99.38</v>
      </c>
      <c r="J51" s="15">
        <v>526727000</v>
      </c>
      <c r="K51" s="164">
        <v>99.38</v>
      </c>
      <c r="L51" s="164">
        <v>99.38</v>
      </c>
      <c r="M51" s="88">
        <f t="shared" si="1"/>
        <v>0</v>
      </c>
      <c r="N51" s="88">
        <f t="shared" si="2"/>
        <v>0</v>
      </c>
      <c r="O51" s="54">
        <f t="shared" si="3"/>
        <v>3273000</v>
      </c>
      <c r="P51" s="15"/>
      <c r="Q51" s="15"/>
    </row>
    <row r="52" spans="1:21" s="13" customFormat="1" ht="45.75" customHeight="1" x14ac:dyDescent="0.35">
      <c r="A52" s="19"/>
      <c r="B52" s="46"/>
      <c r="C52" s="48" t="s">
        <v>33</v>
      </c>
      <c r="D52" s="227" t="s">
        <v>76</v>
      </c>
      <c r="E52" s="228"/>
      <c r="F52" s="58">
        <v>318790000</v>
      </c>
      <c r="G52" s="79" t="s">
        <v>132</v>
      </c>
      <c r="H52" s="165">
        <v>40.4</v>
      </c>
      <c r="I52" s="165">
        <v>40.4</v>
      </c>
      <c r="J52" s="15">
        <v>302882000</v>
      </c>
      <c r="K52" s="165">
        <v>40.4</v>
      </c>
      <c r="L52" s="165">
        <v>40.4</v>
      </c>
      <c r="M52" s="88">
        <f t="shared" si="1"/>
        <v>0</v>
      </c>
      <c r="N52" s="88">
        <f t="shared" si="2"/>
        <v>0</v>
      </c>
      <c r="O52" s="54">
        <f t="shared" si="3"/>
        <v>15908000</v>
      </c>
      <c r="P52" s="15"/>
      <c r="Q52" s="15"/>
    </row>
    <row r="53" spans="1:21" s="4" customFormat="1" ht="30" customHeight="1" x14ac:dyDescent="0.35">
      <c r="A53" s="19"/>
      <c r="B53" s="46"/>
      <c r="C53" s="48" t="s">
        <v>34</v>
      </c>
      <c r="D53" s="226" t="s">
        <v>77</v>
      </c>
      <c r="E53" s="226"/>
      <c r="F53" s="10">
        <v>97000000</v>
      </c>
      <c r="G53" s="79" t="s">
        <v>132</v>
      </c>
      <c r="H53" s="162">
        <v>99.64</v>
      </c>
      <c r="I53" s="162">
        <v>99.64</v>
      </c>
      <c r="J53" s="15">
        <v>96650000</v>
      </c>
      <c r="K53" s="162">
        <v>99.64</v>
      </c>
      <c r="L53" s="162">
        <v>99.64</v>
      </c>
      <c r="M53" s="88">
        <f t="shared" si="1"/>
        <v>0</v>
      </c>
      <c r="N53" s="88">
        <f t="shared" si="2"/>
        <v>0</v>
      </c>
      <c r="O53" s="54">
        <f t="shared" si="3"/>
        <v>350000</v>
      </c>
      <c r="P53" s="15"/>
      <c r="Q53" s="15"/>
    </row>
    <row r="54" spans="1:21" s="4" customFormat="1" ht="45.75" customHeight="1" x14ac:dyDescent="0.35">
      <c r="A54" s="19"/>
      <c r="B54" s="46"/>
      <c r="C54" s="48" t="s">
        <v>35</v>
      </c>
      <c r="D54" s="226" t="s">
        <v>50</v>
      </c>
      <c r="E54" s="226"/>
      <c r="F54" s="60">
        <v>38500000</v>
      </c>
      <c r="G54" s="79" t="s">
        <v>132</v>
      </c>
      <c r="H54" s="162">
        <v>90.35</v>
      </c>
      <c r="I54" s="162">
        <v>90.35</v>
      </c>
      <c r="J54" s="15">
        <v>34784829</v>
      </c>
      <c r="K54" s="162">
        <v>90.35</v>
      </c>
      <c r="L54" s="162">
        <v>90.35</v>
      </c>
      <c r="M54" s="88">
        <f t="shared" si="1"/>
        <v>0</v>
      </c>
      <c r="N54" s="88">
        <f t="shared" si="2"/>
        <v>0</v>
      </c>
      <c r="O54" s="54">
        <f t="shared" si="3"/>
        <v>3715171</v>
      </c>
      <c r="P54" s="15"/>
      <c r="Q54" s="15"/>
    </row>
    <row r="55" spans="1:21" s="4" customFormat="1" ht="42.75" customHeight="1" x14ac:dyDescent="0.35">
      <c r="A55" s="19"/>
      <c r="B55" s="46"/>
      <c r="C55" s="48" t="s">
        <v>36</v>
      </c>
      <c r="D55" s="226" t="s">
        <v>78</v>
      </c>
      <c r="E55" s="226"/>
      <c r="F55" s="60">
        <v>50000000</v>
      </c>
      <c r="G55" s="79" t="s">
        <v>132</v>
      </c>
      <c r="H55" s="162">
        <v>99.28</v>
      </c>
      <c r="I55" s="162">
        <v>99.28</v>
      </c>
      <c r="J55" s="15">
        <v>49639000</v>
      </c>
      <c r="K55" s="162">
        <v>99.28</v>
      </c>
      <c r="L55" s="162">
        <v>99.28</v>
      </c>
      <c r="M55" s="88">
        <f t="shared" si="1"/>
        <v>0</v>
      </c>
      <c r="N55" s="88">
        <f t="shared" si="2"/>
        <v>0</v>
      </c>
      <c r="O55" s="54">
        <f t="shared" si="3"/>
        <v>361000</v>
      </c>
      <c r="P55" s="15"/>
      <c r="Q55" s="15"/>
    </row>
    <row r="56" spans="1:21" s="4" customFormat="1" ht="51" customHeight="1" x14ac:dyDescent="0.35">
      <c r="A56" s="19"/>
      <c r="B56" s="46"/>
      <c r="C56" s="48" t="s">
        <v>37</v>
      </c>
      <c r="D56" s="226" t="s">
        <v>79</v>
      </c>
      <c r="E56" s="226"/>
      <c r="F56" s="62">
        <v>365790000</v>
      </c>
      <c r="G56" s="79" t="s">
        <v>132</v>
      </c>
      <c r="H56" s="162">
        <v>99.99</v>
      </c>
      <c r="I56" s="162">
        <v>99.99</v>
      </c>
      <c r="J56" s="15">
        <v>365750000</v>
      </c>
      <c r="K56" s="162">
        <v>99.99</v>
      </c>
      <c r="L56" s="162">
        <v>99.99</v>
      </c>
      <c r="M56" s="88">
        <f t="shared" si="1"/>
        <v>0</v>
      </c>
      <c r="N56" s="88">
        <f t="shared" si="2"/>
        <v>0</v>
      </c>
      <c r="O56" s="54">
        <f t="shared" si="3"/>
        <v>40000</v>
      </c>
      <c r="P56" s="15"/>
      <c r="Q56" s="15"/>
    </row>
    <row r="57" spans="1:21" s="6" customFormat="1" ht="40.5" customHeight="1" x14ac:dyDescent="0.35">
      <c r="A57" s="20" t="s">
        <v>17</v>
      </c>
      <c r="B57" s="223" t="s">
        <v>80</v>
      </c>
      <c r="C57" s="223"/>
      <c r="D57" s="223"/>
      <c r="E57" s="223"/>
      <c r="F57" s="41">
        <f>SUM(F58:F59)</f>
        <v>55110000</v>
      </c>
      <c r="G57" s="79" t="s">
        <v>132</v>
      </c>
      <c r="H57" s="166">
        <v>62.22</v>
      </c>
      <c r="I57" s="166">
        <v>62.22</v>
      </c>
      <c r="J57" s="41">
        <v>34290000</v>
      </c>
      <c r="K57" s="166">
        <v>62.22</v>
      </c>
      <c r="L57" s="166">
        <v>62.22</v>
      </c>
      <c r="M57" s="87">
        <f t="shared" si="1"/>
        <v>0</v>
      </c>
      <c r="N57" s="87">
        <f t="shared" si="2"/>
        <v>0</v>
      </c>
      <c r="O57" s="54">
        <f t="shared" si="3"/>
        <v>20820000</v>
      </c>
      <c r="P57" s="15"/>
      <c r="Q57" s="15"/>
      <c r="R57" s="12"/>
      <c r="S57" s="12"/>
      <c r="T57" s="12"/>
      <c r="U57" s="12"/>
    </row>
    <row r="58" spans="1:21" s="6" customFormat="1" ht="43.5" customHeight="1" x14ac:dyDescent="0.35">
      <c r="A58" s="19"/>
      <c r="B58" s="74"/>
      <c r="C58" s="48" t="s">
        <v>30</v>
      </c>
      <c r="D58" s="222" t="s">
        <v>81</v>
      </c>
      <c r="E58" s="222"/>
      <c r="F58" s="61">
        <v>25000000</v>
      </c>
      <c r="G58" s="79" t="s">
        <v>132</v>
      </c>
      <c r="H58" s="166">
        <v>93.52</v>
      </c>
      <c r="I58" s="166">
        <v>93.52</v>
      </c>
      <c r="J58" s="15">
        <v>23380000</v>
      </c>
      <c r="K58" s="166">
        <v>93.52</v>
      </c>
      <c r="L58" s="166">
        <v>93.52</v>
      </c>
      <c r="M58" s="88">
        <f t="shared" si="1"/>
        <v>0</v>
      </c>
      <c r="N58" s="88">
        <f t="shared" si="2"/>
        <v>0</v>
      </c>
      <c r="O58" s="54">
        <f t="shared" si="3"/>
        <v>1620000</v>
      </c>
      <c r="P58" s="15"/>
      <c r="Q58" s="15"/>
      <c r="R58" s="12"/>
      <c r="S58" s="12"/>
      <c r="T58" s="12"/>
      <c r="U58" s="12"/>
    </row>
    <row r="59" spans="1:21" s="6" customFormat="1" ht="65.25" customHeight="1" x14ac:dyDescent="0.35">
      <c r="A59" s="20"/>
      <c r="B59" s="74"/>
      <c r="C59" s="48" t="s">
        <v>31</v>
      </c>
      <c r="D59" s="222" t="s">
        <v>82</v>
      </c>
      <c r="E59" s="222"/>
      <c r="F59" s="58">
        <v>30110000</v>
      </c>
      <c r="G59" s="79" t="s">
        <v>132</v>
      </c>
      <c r="H59" s="166">
        <v>36.229999999999997</v>
      </c>
      <c r="I59" s="166">
        <v>36.229999999999997</v>
      </c>
      <c r="J59" s="15">
        <v>10910000</v>
      </c>
      <c r="K59" s="166">
        <v>36.229999999999997</v>
      </c>
      <c r="L59" s="166">
        <v>36.229999999999997</v>
      </c>
      <c r="M59" s="88">
        <f t="shared" si="1"/>
        <v>0</v>
      </c>
      <c r="N59" s="88">
        <f t="shared" si="2"/>
        <v>0</v>
      </c>
      <c r="O59" s="54">
        <f t="shared" si="3"/>
        <v>19200000</v>
      </c>
      <c r="P59" s="15"/>
      <c r="Q59" s="15"/>
      <c r="R59" s="12"/>
      <c r="S59" s="12"/>
      <c r="T59" s="12"/>
      <c r="U59" s="12"/>
    </row>
    <row r="60" spans="1:21" s="6" customFormat="1" ht="46.5" customHeight="1" x14ac:dyDescent="0.35">
      <c r="A60" s="20" t="s">
        <v>39</v>
      </c>
      <c r="B60" s="46"/>
      <c r="C60" s="223" t="s">
        <v>83</v>
      </c>
      <c r="D60" s="223"/>
      <c r="E60" s="223"/>
      <c r="F60" s="45">
        <f>SUM(F61:F63)</f>
        <v>182100000</v>
      </c>
      <c r="G60" s="79" t="s">
        <v>132</v>
      </c>
      <c r="H60" s="166">
        <v>75.14</v>
      </c>
      <c r="I60" s="166">
        <v>75.14</v>
      </c>
      <c r="J60" s="45">
        <v>136830000</v>
      </c>
      <c r="K60" s="166">
        <v>75.14</v>
      </c>
      <c r="L60" s="166">
        <v>75.14</v>
      </c>
      <c r="M60" s="87">
        <f t="shared" si="1"/>
        <v>0</v>
      </c>
      <c r="N60" s="87">
        <f t="shared" si="2"/>
        <v>0</v>
      </c>
      <c r="O60" s="54">
        <f t="shared" si="3"/>
        <v>45270000</v>
      </c>
      <c r="P60" s="15"/>
      <c r="Q60" s="15"/>
      <c r="R60" s="12"/>
      <c r="S60" s="12"/>
      <c r="T60" s="12"/>
      <c r="U60" s="12"/>
    </row>
    <row r="61" spans="1:21" s="6" customFormat="1" ht="53.25" customHeight="1" x14ac:dyDescent="0.35">
      <c r="A61" s="20"/>
      <c r="B61" s="46"/>
      <c r="C61" s="49" t="s">
        <v>30</v>
      </c>
      <c r="D61" s="226" t="s">
        <v>84</v>
      </c>
      <c r="E61" s="226"/>
      <c r="F61" s="63">
        <v>52100000</v>
      </c>
      <c r="G61" s="79" t="s">
        <v>132</v>
      </c>
      <c r="H61" s="166">
        <v>91.03</v>
      </c>
      <c r="I61" s="166">
        <v>91.03</v>
      </c>
      <c r="J61" s="15">
        <v>47425000</v>
      </c>
      <c r="K61" s="166">
        <v>91.03</v>
      </c>
      <c r="L61" s="166">
        <v>91.03</v>
      </c>
      <c r="M61" s="88">
        <f t="shared" si="1"/>
        <v>0</v>
      </c>
      <c r="N61" s="88">
        <f t="shared" si="2"/>
        <v>0</v>
      </c>
      <c r="O61" s="54">
        <f t="shared" si="3"/>
        <v>4675000</v>
      </c>
      <c r="P61" s="15"/>
      <c r="Q61" s="15"/>
      <c r="R61" s="12"/>
      <c r="S61" s="12"/>
      <c r="T61" s="12"/>
      <c r="U61" s="12"/>
    </row>
    <row r="62" spans="1:21" s="6" customFormat="1" ht="57.75" customHeight="1" x14ac:dyDescent="0.35">
      <c r="A62" s="20"/>
      <c r="B62" s="46"/>
      <c r="C62" s="49" t="s">
        <v>31</v>
      </c>
      <c r="D62" s="226" t="s">
        <v>85</v>
      </c>
      <c r="E62" s="226"/>
      <c r="F62" s="63">
        <v>50000000</v>
      </c>
      <c r="G62" s="79" t="s">
        <v>132</v>
      </c>
      <c r="H62" s="166">
        <v>53.46</v>
      </c>
      <c r="I62" s="166">
        <v>53.46</v>
      </c>
      <c r="J62" s="15">
        <v>26730000</v>
      </c>
      <c r="K62" s="166">
        <v>53.46</v>
      </c>
      <c r="L62" s="166">
        <v>53.46</v>
      </c>
      <c r="M62" s="88">
        <f t="shared" si="1"/>
        <v>0</v>
      </c>
      <c r="N62" s="88">
        <f t="shared" si="2"/>
        <v>0</v>
      </c>
      <c r="O62" s="54">
        <f t="shared" si="3"/>
        <v>23270000</v>
      </c>
      <c r="P62" s="15"/>
      <c r="Q62" s="15"/>
      <c r="R62" s="12"/>
      <c r="S62" s="12"/>
      <c r="T62" s="12"/>
      <c r="U62" s="12"/>
    </row>
    <row r="63" spans="1:21" s="6" customFormat="1" ht="45.75" customHeight="1" x14ac:dyDescent="0.35">
      <c r="A63" s="19"/>
      <c r="B63" s="46"/>
      <c r="C63" s="49" t="s">
        <v>32</v>
      </c>
      <c r="D63" s="226" t="s">
        <v>86</v>
      </c>
      <c r="E63" s="226"/>
      <c r="F63" s="63">
        <v>80000000</v>
      </c>
      <c r="G63" s="79" t="s">
        <v>132</v>
      </c>
      <c r="H63" s="166">
        <v>78.34</v>
      </c>
      <c r="I63" s="166">
        <v>78.34</v>
      </c>
      <c r="J63" s="15">
        <v>62675000</v>
      </c>
      <c r="K63" s="166">
        <v>78.34</v>
      </c>
      <c r="L63" s="166">
        <v>78.34</v>
      </c>
      <c r="M63" s="88">
        <f t="shared" si="1"/>
        <v>0</v>
      </c>
      <c r="N63" s="88">
        <f t="shared" si="2"/>
        <v>0</v>
      </c>
      <c r="O63" s="54">
        <f t="shared" si="3"/>
        <v>17325000</v>
      </c>
      <c r="P63" s="15"/>
      <c r="Q63" s="15"/>
      <c r="R63" s="12"/>
      <c r="S63" s="12"/>
      <c r="T63" s="12"/>
      <c r="U63" s="12"/>
    </row>
    <row r="64" spans="1:21" s="4" customFormat="1" ht="56.25" customHeight="1" x14ac:dyDescent="0.35">
      <c r="A64" s="28" t="s">
        <v>40</v>
      </c>
      <c r="B64" s="217" t="s">
        <v>87</v>
      </c>
      <c r="C64" s="218"/>
      <c r="D64" s="218"/>
      <c r="E64" s="219"/>
      <c r="F64" s="45">
        <f>SUM(F65:F73)</f>
        <v>5425738400</v>
      </c>
      <c r="G64" s="79" t="s">
        <v>132</v>
      </c>
      <c r="H64" s="165">
        <v>97.42</v>
      </c>
      <c r="I64" s="165">
        <v>97.42</v>
      </c>
      <c r="J64" s="45">
        <v>5285915200</v>
      </c>
      <c r="K64" s="165">
        <v>97.42</v>
      </c>
      <c r="L64" s="165">
        <v>97.42</v>
      </c>
      <c r="M64" s="87">
        <f t="shared" si="1"/>
        <v>0</v>
      </c>
      <c r="N64" s="87">
        <f t="shared" si="2"/>
        <v>0</v>
      </c>
      <c r="O64" s="54">
        <f t="shared" si="3"/>
        <v>139823200</v>
      </c>
      <c r="P64" s="15"/>
      <c r="Q64" s="15"/>
      <c r="R64" s="13"/>
      <c r="S64" s="13"/>
      <c r="T64" s="13"/>
      <c r="U64" s="13"/>
    </row>
    <row r="65" spans="1:21" s="4" customFormat="1" ht="56.25" customHeight="1" x14ac:dyDescent="0.35">
      <c r="A65" s="28"/>
      <c r="B65" s="74"/>
      <c r="C65" s="47" t="s">
        <v>30</v>
      </c>
      <c r="D65" s="212" t="s">
        <v>88</v>
      </c>
      <c r="E65" s="213"/>
      <c r="F65" s="66">
        <v>925000000</v>
      </c>
      <c r="G65" s="79" t="s">
        <v>132</v>
      </c>
      <c r="H65" s="165">
        <v>95.95</v>
      </c>
      <c r="I65" s="165">
        <v>95.95</v>
      </c>
      <c r="J65" s="15">
        <v>887510000</v>
      </c>
      <c r="K65" s="165">
        <v>95.95</v>
      </c>
      <c r="L65" s="165">
        <v>95.95</v>
      </c>
      <c r="M65" s="88">
        <f t="shared" si="1"/>
        <v>0</v>
      </c>
      <c r="N65" s="88">
        <f t="shared" si="2"/>
        <v>0</v>
      </c>
      <c r="O65" s="54">
        <f t="shared" si="3"/>
        <v>37490000</v>
      </c>
      <c r="P65" s="15"/>
      <c r="Q65" s="15"/>
      <c r="R65" s="13"/>
      <c r="S65" s="13"/>
      <c r="T65" s="13"/>
      <c r="U65" s="13"/>
    </row>
    <row r="66" spans="1:21" s="4" customFormat="1" ht="56.25" customHeight="1" x14ac:dyDescent="0.35">
      <c r="A66" s="28"/>
      <c r="B66" s="73"/>
      <c r="C66" s="48" t="s">
        <v>31</v>
      </c>
      <c r="D66" s="212" t="s">
        <v>89</v>
      </c>
      <c r="E66" s="213"/>
      <c r="F66" s="60">
        <v>509795000</v>
      </c>
      <c r="G66" s="79" t="s">
        <v>132</v>
      </c>
      <c r="H66" s="165">
        <v>99.74</v>
      </c>
      <c r="I66" s="165">
        <v>99.74</v>
      </c>
      <c r="J66" s="15">
        <v>508492700</v>
      </c>
      <c r="K66" s="165">
        <v>99.74</v>
      </c>
      <c r="L66" s="165">
        <v>99.74</v>
      </c>
      <c r="M66" s="88">
        <f t="shared" si="1"/>
        <v>0</v>
      </c>
      <c r="N66" s="88">
        <f t="shared" si="2"/>
        <v>0</v>
      </c>
      <c r="O66" s="54">
        <f t="shared" si="3"/>
        <v>1302300</v>
      </c>
      <c r="P66" s="15"/>
      <c r="Q66" s="15"/>
      <c r="R66" s="13"/>
      <c r="S66" s="13"/>
      <c r="T66" s="13"/>
      <c r="U66" s="13"/>
    </row>
    <row r="67" spans="1:21" s="4" customFormat="1" ht="56.25" customHeight="1" x14ac:dyDescent="0.35">
      <c r="A67" s="28"/>
      <c r="B67" s="73"/>
      <c r="C67" s="48" t="s">
        <v>32</v>
      </c>
      <c r="D67" s="212" t="s">
        <v>90</v>
      </c>
      <c r="E67" s="213"/>
      <c r="F67" s="60">
        <v>100000000</v>
      </c>
      <c r="G67" s="79" t="s">
        <v>132</v>
      </c>
      <c r="H67" s="165">
        <v>98.63</v>
      </c>
      <c r="I67" s="165">
        <v>98.63</v>
      </c>
      <c r="J67" s="15">
        <v>98627300</v>
      </c>
      <c r="K67" s="165">
        <v>98.63</v>
      </c>
      <c r="L67" s="165">
        <v>98.63</v>
      </c>
      <c r="M67" s="88">
        <f t="shared" si="1"/>
        <v>0</v>
      </c>
      <c r="N67" s="88">
        <f t="shared" si="2"/>
        <v>0</v>
      </c>
      <c r="O67" s="54">
        <f t="shared" si="3"/>
        <v>1372700</v>
      </c>
      <c r="P67" s="15"/>
      <c r="Q67" s="15"/>
      <c r="R67" s="13"/>
      <c r="S67" s="13"/>
      <c r="T67" s="13"/>
      <c r="U67" s="13"/>
    </row>
    <row r="68" spans="1:21" s="4" customFormat="1" ht="56.25" customHeight="1" x14ac:dyDescent="0.35">
      <c r="A68" s="28"/>
      <c r="B68" s="73"/>
      <c r="C68" s="48" t="s">
        <v>33</v>
      </c>
      <c r="D68" s="212" t="s">
        <v>91</v>
      </c>
      <c r="E68" s="213"/>
      <c r="F68" s="60">
        <v>250000000</v>
      </c>
      <c r="G68" s="79" t="s">
        <v>132</v>
      </c>
      <c r="H68" s="167">
        <v>91.2</v>
      </c>
      <c r="I68" s="167">
        <v>91.2</v>
      </c>
      <c r="J68" s="15">
        <v>228010000</v>
      </c>
      <c r="K68" s="167">
        <v>91.2</v>
      </c>
      <c r="L68" s="167">
        <v>91.2</v>
      </c>
      <c r="M68" s="88">
        <f t="shared" si="1"/>
        <v>0</v>
      </c>
      <c r="N68" s="88">
        <f t="shared" si="2"/>
        <v>0</v>
      </c>
      <c r="O68" s="54">
        <f t="shared" si="3"/>
        <v>21990000</v>
      </c>
      <c r="P68" s="15"/>
      <c r="Q68" s="15"/>
      <c r="R68" s="13"/>
      <c r="S68" s="13"/>
      <c r="T68" s="13"/>
      <c r="U68" s="13"/>
    </row>
    <row r="69" spans="1:21" s="4" customFormat="1" ht="56.25" customHeight="1" x14ac:dyDescent="0.35">
      <c r="A69" s="28"/>
      <c r="B69" s="73"/>
      <c r="C69" s="48" t="s">
        <v>34</v>
      </c>
      <c r="D69" s="212" t="s">
        <v>92</v>
      </c>
      <c r="E69" s="213"/>
      <c r="F69" s="60">
        <v>2254800000</v>
      </c>
      <c r="G69" s="79" t="s">
        <v>132</v>
      </c>
      <c r="H69" s="165">
        <v>99.04</v>
      </c>
      <c r="I69" s="165">
        <v>99.04</v>
      </c>
      <c r="J69" s="15">
        <v>2233200000</v>
      </c>
      <c r="K69" s="165">
        <v>99.04</v>
      </c>
      <c r="L69" s="165">
        <v>99.04</v>
      </c>
      <c r="M69" s="88">
        <f t="shared" si="1"/>
        <v>0</v>
      </c>
      <c r="N69" s="88">
        <f t="shared" si="2"/>
        <v>0</v>
      </c>
      <c r="O69" s="54">
        <f t="shared" si="3"/>
        <v>21600000</v>
      </c>
      <c r="P69" s="15"/>
      <c r="Q69" s="15"/>
      <c r="R69" s="13"/>
      <c r="S69" s="13"/>
      <c r="T69" s="13"/>
      <c r="U69" s="13"/>
    </row>
    <row r="70" spans="1:21" s="4" customFormat="1" ht="56.25" customHeight="1" x14ac:dyDescent="0.35">
      <c r="A70" s="28"/>
      <c r="B70" s="73"/>
      <c r="C70" s="48" t="s">
        <v>35</v>
      </c>
      <c r="D70" s="212" t="s">
        <v>93</v>
      </c>
      <c r="E70" s="213"/>
      <c r="F70" s="60">
        <v>750000000</v>
      </c>
      <c r="G70" s="79" t="s">
        <v>132</v>
      </c>
      <c r="H70" s="165">
        <v>99.6</v>
      </c>
      <c r="I70" s="165">
        <v>99.6</v>
      </c>
      <c r="J70" s="15">
        <v>747034000</v>
      </c>
      <c r="K70" s="165">
        <v>99.6</v>
      </c>
      <c r="L70" s="165">
        <v>99.6</v>
      </c>
      <c r="M70" s="88">
        <f t="shared" si="1"/>
        <v>0</v>
      </c>
      <c r="N70" s="88">
        <f t="shared" si="2"/>
        <v>0</v>
      </c>
      <c r="O70" s="54">
        <f t="shared" si="3"/>
        <v>2966000</v>
      </c>
      <c r="P70" s="15"/>
      <c r="Q70" s="15"/>
      <c r="R70" s="13"/>
      <c r="S70" s="13"/>
      <c r="T70" s="13"/>
      <c r="U70" s="13"/>
    </row>
    <row r="71" spans="1:21" s="4" customFormat="1" ht="56.25" customHeight="1" x14ac:dyDescent="0.35">
      <c r="A71" s="28"/>
      <c r="B71" s="73"/>
      <c r="C71" s="48" t="s">
        <v>36</v>
      </c>
      <c r="D71" s="212" t="s">
        <v>94</v>
      </c>
      <c r="E71" s="213"/>
      <c r="F71" s="60">
        <v>150000000</v>
      </c>
      <c r="G71" s="79" t="s">
        <v>132</v>
      </c>
      <c r="H71" s="165">
        <v>99.81</v>
      </c>
      <c r="I71" s="165">
        <v>99.81</v>
      </c>
      <c r="J71" s="15">
        <v>149715000</v>
      </c>
      <c r="K71" s="165">
        <v>99.81</v>
      </c>
      <c r="L71" s="165">
        <v>99.81</v>
      </c>
      <c r="M71" s="88">
        <f t="shared" si="1"/>
        <v>0</v>
      </c>
      <c r="N71" s="88">
        <f t="shared" si="2"/>
        <v>0</v>
      </c>
      <c r="O71" s="54">
        <f t="shared" si="3"/>
        <v>285000</v>
      </c>
      <c r="P71" s="15"/>
      <c r="Q71" s="15"/>
      <c r="R71" s="13"/>
      <c r="S71" s="13"/>
      <c r="T71" s="13"/>
      <c r="U71" s="13"/>
    </row>
    <row r="72" spans="1:21" s="4" customFormat="1" ht="56.25" customHeight="1" x14ac:dyDescent="0.35">
      <c r="A72" s="28"/>
      <c r="B72" s="73"/>
      <c r="C72" s="48" t="s">
        <v>37</v>
      </c>
      <c r="D72" s="212" t="s">
        <v>95</v>
      </c>
      <c r="E72" s="213"/>
      <c r="F72" s="64">
        <v>150000000</v>
      </c>
      <c r="G72" s="79" t="s">
        <v>132</v>
      </c>
      <c r="H72" s="165">
        <v>86.13</v>
      </c>
      <c r="I72" s="165">
        <v>86.13</v>
      </c>
      <c r="J72" s="15">
        <v>129200000</v>
      </c>
      <c r="K72" s="165">
        <v>86.13</v>
      </c>
      <c r="L72" s="165">
        <v>86.13</v>
      </c>
      <c r="M72" s="88">
        <f t="shared" si="1"/>
        <v>0</v>
      </c>
      <c r="N72" s="88">
        <f t="shared" si="2"/>
        <v>0</v>
      </c>
      <c r="O72" s="54">
        <f t="shared" si="3"/>
        <v>20800000</v>
      </c>
      <c r="P72" s="15"/>
      <c r="Q72" s="15"/>
      <c r="R72" s="13"/>
      <c r="S72" s="13"/>
      <c r="T72" s="13"/>
      <c r="U72" s="13"/>
    </row>
    <row r="73" spans="1:21" s="4" customFormat="1" ht="56.25" customHeight="1" x14ac:dyDescent="0.35">
      <c r="A73" s="28"/>
      <c r="B73" s="73"/>
      <c r="C73" s="48" t="s">
        <v>38</v>
      </c>
      <c r="D73" s="212" t="s">
        <v>96</v>
      </c>
      <c r="E73" s="213"/>
      <c r="F73" s="60">
        <v>336143400</v>
      </c>
      <c r="G73" s="79" t="s">
        <v>132</v>
      </c>
      <c r="H73" s="165">
        <v>90.48</v>
      </c>
      <c r="I73" s="165">
        <v>90.48</v>
      </c>
      <c r="J73" s="15">
        <v>304126200</v>
      </c>
      <c r="K73" s="165">
        <v>90.48</v>
      </c>
      <c r="L73" s="165">
        <v>90.48</v>
      </c>
      <c r="M73" s="88">
        <f t="shared" si="1"/>
        <v>0</v>
      </c>
      <c r="N73" s="88">
        <f t="shared" si="2"/>
        <v>0</v>
      </c>
      <c r="O73" s="54">
        <f t="shared" si="3"/>
        <v>32017200</v>
      </c>
      <c r="P73" s="15"/>
      <c r="Q73" s="15"/>
      <c r="R73" s="13"/>
      <c r="S73" s="13"/>
      <c r="T73" s="13"/>
      <c r="U73" s="13"/>
    </row>
    <row r="74" spans="1:21" s="31" customFormat="1" ht="78.75" customHeight="1" x14ac:dyDescent="0.35">
      <c r="A74" s="20" t="s">
        <v>47</v>
      </c>
      <c r="B74" s="217" t="s">
        <v>97</v>
      </c>
      <c r="C74" s="218"/>
      <c r="D74" s="218"/>
      <c r="E74" s="219"/>
      <c r="F74" s="41">
        <f>SUM(F75:F77)</f>
        <v>291990000</v>
      </c>
      <c r="G74" s="79" t="s">
        <v>132</v>
      </c>
      <c r="H74" s="166">
        <v>64.319999999999993</v>
      </c>
      <c r="I74" s="166">
        <v>64.319999999999993</v>
      </c>
      <c r="J74" s="41">
        <v>187812000</v>
      </c>
      <c r="K74" s="166">
        <v>64.319999999999993</v>
      </c>
      <c r="L74" s="166">
        <v>64.319999999999993</v>
      </c>
      <c r="M74" s="87">
        <f t="shared" ref="M74:M89" si="12">L74-I74</f>
        <v>0</v>
      </c>
      <c r="N74" s="87">
        <f t="shared" ref="N74:N89" si="13">K74-H74</f>
        <v>0</v>
      </c>
      <c r="O74" s="54">
        <f t="shared" ref="O74:O89" si="14">F74-J74</f>
        <v>104178000</v>
      </c>
      <c r="P74" s="15"/>
      <c r="Q74" s="15"/>
      <c r="R74" s="12"/>
      <c r="S74" s="12"/>
      <c r="T74" s="12"/>
      <c r="U74" s="12"/>
    </row>
    <row r="75" spans="1:21" s="6" customFormat="1" ht="57.75" customHeight="1" x14ac:dyDescent="0.35">
      <c r="A75" s="28"/>
      <c r="B75" s="52"/>
      <c r="C75" s="50" t="s">
        <v>30</v>
      </c>
      <c r="D75" s="214" t="s">
        <v>98</v>
      </c>
      <c r="E75" s="214"/>
      <c r="F75" s="62">
        <v>50000000</v>
      </c>
      <c r="G75" s="79" t="s">
        <v>132</v>
      </c>
      <c r="H75" s="166">
        <v>79.400000000000006</v>
      </c>
      <c r="I75" s="166">
        <v>79.400000000000006</v>
      </c>
      <c r="J75" s="15">
        <v>39700000</v>
      </c>
      <c r="K75" s="166">
        <v>79.400000000000006</v>
      </c>
      <c r="L75" s="166">
        <v>79.400000000000006</v>
      </c>
      <c r="M75" s="88">
        <f t="shared" si="12"/>
        <v>0</v>
      </c>
      <c r="N75" s="88">
        <f t="shared" si="13"/>
        <v>0</v>
      </c>
      <c r="O75" s="54">
        <f t="shared" si="14"/>
        <v>10300000</v>
      </c>
      <c r="P75" s="15"/>
      <c r="Q75" s="15"/>
      <c r="R75" s="12"/>
      <c r="S75" s="12"/>
      <c r="T75" s="12"/>
      <c r="U75" s="12"/>
    </row>
    <row r="76" spans="1:21" s="12" customFormat="1" ht="43.5" customHeight="1" x14ac:dyDescent="0.35">
      <c r="A76" s="20"/>
      <c r="B76" s="52"/>
      <c r="C76" s="50" t="s">
        <v>31</v>
      </c>
      <c r="D76" s="214" t="s">
        <v>99</v>
      </c>
      <c r="E76" s="214"/>
      <c r="F76" s="65">
        <v>141990000</v>
      </c>
      <c r="G76" s="79" t="s">
        <v>132</v>
      </c>
      <c r="H76" s="166">
        <v>82.43</v>
      </c>
      <c r="I76" s="166">
        <v>82.43</v>
      </c>
      <c r="J76" s="15">
        <v>117037000</v>
      </c>
      <c r="K76" s="166">
        <v>82.43</v>
      </c>
      <c r="L76" s="166">
        <v>82.43</v>
      </c>
      <c r="M76" s="88">
        <f t="shared" si="12"/>
        <v>0</v>
      </c>
      <c r="N76" s="88">
        <f t="shared" si="13"/>
        <v>0</v>
      </c>
      <c r="O76" s="54">
        <f t="shared" si="14"/>
        <v>24953000</v>
      </c>
      <c r="P76" s="15"/>
      <c r="Q76" s="15"/>
    </row>
    <row r="77" spans="1:21" s="12" customFormat="1" ht="43.5" customHeight="1" x14ac:dyDescent="0.35">
      <c r="A77" s="20"/>
      <c r="B77" s="52"/>
      <c r="C77" s="50" t="s">
        <v>32</v>
      </c>
      <c r="D77" s="215" t="s">
        <v>100</v>
      </c>
      <c r="E77" s="216"/>
      <c r="F77" s="67">
        <v>100000000</v>
      </c>
      <c r="G77" s="79" t="s">
        <v>132</v>
      </c>
      <c r="H77" s="166">
        <v>31.08</v>
      </c>
      <c r="I77" s="166">
        <v>31.08</v>
      </c>
      <c r="J77" s="15">
        <v>31075000</v>
      </c>
      <c r="K77" s="166">
        <v>31.08</v>
      </c>
      <c r="L77" s="166">
        <v>31.08</v>
      </c>
      <c r="M77" s="88">
        <f t="shared" si="12"/>
        <v>0</v>
      </c>
      <c r="N77" s="88">
        <f t="shared" si="13"/>
        <v>0</v>
      </c>
      <c r="O77" s="54">
        <f t="shared" si="14"/>
        <v>68925000</v>
      </c>
      <c r="P77" s="15"/>
      <c r="Q77" s="15"/>
    </row>
    <row r="78" spans="1:21" s="12" customFormat="1" ht="37.5" customHeight="1" x14ac:dyDescent="0.35">
      <c r="A78" s="20" t="s">
        <v>66</v>
      </c>
      <c r="B78" s="217" t="s">
        <v>101</v>
      </c>
      <c r="C78" s="218"/>
      <c r="D78" s="218"/>
      <c r="E78" s="219"/>
      <c r="F78" s="45">
        <f>SUM(F79:F81)</f>
        <v>650000000</v>
      </c>
      <c r="G78" s="79" t="s">
        <v>132</v>
      </c>
      <c r="H78" s="166">
        <v>93.1</v>
      </c>
      <c r="I78" s="166">
        <v>93.1</v>
      </c>
      <c r="J78" s="45">
        <v>605133375</v>
      </c>
      <c r="K78" s="166">
        <v>93.1</v>
      </c>
      <c r="L78" s="166">
        <v>93.1</v>
      </c>
      <c r="M78" s="87">
        <f t="shared" si="12"/>
        <v>0</v>
      </c>
      <c r="N78" s="87">
        <f t="shared" si="13"/>
        <v>0</v>
      </c>
      <c r="O78" s="54">
        <f t="shared" si="14"/>
        <v>44866625</v>
      </c>
      <c r="P78" s="15"/>
      <c r="Q78" s="15"/>
    </row>
    <row r="79" spans="1:21" s="12" customFormat="1" ht="55.5" customHeight="1" x14ac:dyDescent="0.35">
      <c r="A79" s="20"/>
      <c r="B79" s="52"/>
      <c r="C79" s="48" t="s">
        <v>30</v>
      </c>
      <c r="D79" s="212" t="s">
        <v>102</v>
      </c>
      <c r="E79" s="213"/>
      <c r="F79" s="58">
        <v>550000000</v>
      </c>
      <c r="G79" s="79" t="s">
        <v>132</v>
      </c>
      <c r="H79" s="166">
        <v>96.94</v>
      </c>
      <c r="I79" s="166">
        <v>96.94</v>
      </c>
      <c r="J79" s="15">
        <v>533157375</v>
      </c>
      <c r="K79" s="166">
        <v>96.94</v>
      </c>
      <c r="L79" s="166">
        <v>96.94</v>
      </c>
      <c r="M79" s="88">
        <f t="shared" si="12"/>
        <v>0</v>
      </c>
      <c r="N79" s="88">
        <f t="shared" si="13"/>
        <v>0</v>
      </c>
      <c r="O79" s="54">
        <f t="shared" si="14"/>
        <v>16842625</v>
      </c>
      <c r="P79" s="15"/>
      <c r="Q79" s="15"/>
    </row>
    <row r="80" spans="1:21" s="12" customFormat="1" ht="55.5" customHeight="1" x14ac:dyDescent="0.35">
      <c r="A80" s="20"/>
      <c r="B80" s="52"/>
      <c r="C80" s="48" t="s">
        <v>31</v>
      </c>
      <c r="D80" s="220" t="s">
        <v>103</v>
      </c>
      <c r="E80" s="221"/>
      <c r="F80" s="58">
        <v>50000000</v>
      </c>
      <c r="G80" s="79" t="s">
        <v>132</v>
      </c>
      <c r="H80" s="166">
        <v>68.290000000000006</v>
      </c>
      <c r="I80" s="166">
        <v>68.290000000000006</v>
      </c>
      <c r="J80" s="15">
        <v>34146000</v>
      </c>
      <c r="K80" s="166">
        <v>68.290000000000006</v>
      </c>
      <c r="L80" s="166">
        <v>68.290000000000006</v>
      </c>
      <c r="M80" s="88">
        <f t="shared" si="12"/>
        <v>0</v>
      </c>
      <c r="N80" s="88">
        <f t="shared" si="13"/>
        <v>0</v>
      </c>
      <c r="O80" s="54">
        <f t="shared" si="14"/>
        <v>15854000</v>
      </c>
      <c r="P80" s="15"/>
      <c r="Q80" s="15"/>
    </row>
    <row r="81" spans="1:21" s="12" customFormat="1" ht="40.5" customHeight="1" x14ac:dyDescent="0.35">
      <c r="A81" s="20"/>
      <c r="B81" s="52"/>
      <c r="C81" s="48" t="s">
        <v>32</v>
      </c>
      <c r="D81" s="222" t="s">
        <v>104</v>
      </c>
      <c r="E81" s="222"/>
      <c r="F81" s="58">
        <v>50000000</v>
      </c>
      <c r="G81" s="79" t="s">
        <v>132</v>
      </c>
      <c r="H81" s="166">
        <v>75.66</v>
      </c>
      <c r="I81" s="166">
        <v>75.66</v>
      </c>
      <c r="J81" s="15">
        <v>37830000</v>
      </c>
      <c r="K81" s="166">
        <v>75.66</v>
      </c>
      <c r="L81" s="166">
        <v>75.66</v>
      </c>
      <c r="M81" s="88">
        <f t="shared" si="12"/>
        <v>0</v>
      </c>
      <c r="N81" s="88">
        <f t="shared" si="13"/>
        <v>0</v>
      </c>
      <c r="O81" s="54">
        <f t="shared" si="14"/>
        <v>12170000</v>
      </c>
      <c r="P81" s="15"/>
      <c r="Q81" s="15"/>
    </row>
    <row r="82" spans="1:21" s="4" customFormat="1" ht="91.5" customHeight="1" x14ac:dyDescent="0.35">
      <c r="A82" s="20" t="s">
        <v>49</v>
      </c>
      <c r="B82" s="223" t="s">
        <v>105</v>
      </c>
      <c r="C82" s="223"/>
      <c r="D82" s="223"/>
      <c r="E82" s="223"/>
      <c r="F82" s="45">
        <f>SUM(F83:F89)</f>
        <v>9834121000</v>
      </c>
      <c r="G82" s="79" t="s">
        <v>132</v>
      </c>
      <c r="H82" s="165">
        <v>94.02</v>
      </c>
      <c r="I82" s="165">
        <v>94.02</v>
      </c>
      <c r="J82" s="15">
        <v>9245914069</v>
      </c>
      <c r="K82" s="165">
        <v>94.02</v>
      </c>
      <c r="L82" s="165">
        <v>94.02</v>
      </c>
      <c r="M82" s="85">
        <f t="shared" si="12"/>
        <v>0</v>
      </c>
      <c r="N82" s="85">
        <f t="shared" si="13"/>
        <v>0</v>
      </c>
      <c r="O82" s="54">
        <f t="shared" si="14"/>
        <v>588206931</v>
      </c>
      <c r="P82" s="15"/>
      <c r="Q82" s="15"/>
      <c r="R82" s="13"/>
      <c r="S82" s="13"/>
      <c r="T82" s="13"/>
      <c r="U82" s="13"/>
    </row>
    <row r="83" spans="1:21" s="30" customFormat="1" ht="65.25" customHeight="1" x14ac:dyDescent="0.35">
      <c r="A83" s="20"/>
      <c r="B83" s="74"/>
      <c r="C83" s="48" t="s">
        <v>30</v>
      </c>
      <c r="D83" s="222" t="s">
        <v>107</v>
      </c>
      <c r="E83" s="222"/>
      <c r="F83" s="60">
        <v>150000000</v>
      </c>
      <c r="G83" s="79" t="s">
        <v>132</v>
      </c>
      <c r="H83" s="166">
        <v>79.2</v>
      </c>
      <c r="I83" s="166">
        <v>79.2</v>
      </c>
      <c r="J83" s="15">
        <v>118800000</v>
      </c>
      <c r="K83" s="166">
        <v>79.2</v>
      </c>
      <c r="L83" s="166">
        <v>79.2</v>
      </c>
      <c r="M83" s="86">
        <f t="shared" si="12"/>
        <v>0</v>
      </c>
      <c r="N83" s="86">
        <f t="shared" si="13"/>
        <v>0</v>
      </c>
      <c r="O83" s="54">
        <f t="shared" si="14"/>
        <v>31200000</v>
      </c>
      <c r="P83" s="15"/>
      <c r="Q83" s="15"/>
      <c r="R83" s="12"/>
      <c r="S83" s="12"/>
      <c r="T83" s="12"/>
      <c r="U83" s="12"/>
    </row>
    <row r="84" spans="1:21" s="4" customFormat="1" ht="78.75" customHeight="1" x14ac:dyDescent="0.35">
      <c r="A84" s="28"/>
      <c r="B84" s="52"/>
      <c r="C84" s="50" t="s">
        <v>31</v>
      </c>
      <c r="D84" s="222" t="s">
        <v>108</v>
      </c>
      <c r="E84" s="222"/>
      <c r="F84" s="60">
        <v>220000000</v>
      </c>
      <c r="G84" s="79" t="s">
        <v>132</v>
      </c>
      <c r="H84" s="162">
        <v>99.23</v>
      </c>
      <c r="I84" s="162">
        <v>99.23</v>
      </c>
      <c r="J84" s="15">
        <v>218300000</v>
      </c>
      <c r="K84" s="162">
        <v>99.23</v>
      </c>
      <c r="L84" s="162">
        <v>99.23</v>
      </c>
      <c r="M84" s="86">
        <f t="shared" si="12"/>
        <v>0</v>
      </c>
      <c r="N84" s="86">
        <f t="shared" si="13"/>
        <v>0</v>
      </c>
      <c r="O84" s="54">
        <f t="shared" si="14"/>
        <v>1700000</v>
      </c>
      <c r="P84" s="15"/>
      <c r="Q84" s="15"/>
    </row>
    <row r="85" spans="1:21" s="13" customFormat="1" ht="42" customHeight="1" x14ac:dyDescent="0.35">
      <c r="A85" s="28"/>
      <c r="B85" s="52"/>
      <c r="C85" s="50" t="s">
        <v>32</v>
      </c>
      <c r="D85" s="224" t="s">
        <v>109</v>
      </c>
      <c r="E85" s="225"/>
      <c r="F85" s="60">
        <v>150000000</v>
      </c>
      <c r="G85" s="79" t="s">
        <v>132</v>
      </c>
      <c r="H85" s="165">
        <v>96.69</v>
      </c>
      <c r="I85" s="165">
        <v>96.69</v>
      </c>
      <c r="J85" s="15">
        <v>145040000</v>
      </c>
      <c r="K85" s="165">
        <v>96.69</v>
      </c>
      <c r="L85" s="165">
        <v>96.69</v>
      </c>
      <c r="M85" s="86">
        <f t="shared" si="12"/>
        <v>0</v>
      </c>
      <c r="N85" s="86">
        <f t="shared" si="13"/>
        <v>0</v>
      </c>
      <c r="O85" s="54">
        <f t="shared" si="14"/>
        <v>4960000</v>
      </c>
      <c r="P85" s="15"/>
      <c r="Q85" s="15"/>
    </row>
    <row r="86" spans="1:21" s="13" customFormat="1" ht="42" customHeight="1" x14ac:dyDescent="0.35">
      <c r="A86" s="28"/>
      <c r="B86" s="52"/>
      <c r="C86" s="50" t="s">
        <v>33</v>
      </c>
      <c r="D86" s="212" t="s">
        <v>41</v>
      </c>
      <c r="E86" s="213"/>
      <c r="F86" s="58">
        <v>72000000</v>
      </c>
      <c r="G86" s="79" t="s">
        <v>132</v>
      </c>
      <c r="H86" s="165">
        <v>100</v>
      </c>
      <c r="I86" s="165">
        <v>100</v>
      </c>
      <c r="J86" s="15">
        <v>72000000</v>
      </c>
      <c r="K86" s="165">
        <v>100</v>
      </c>
      <c r="L86" s="165">
        <v>100</v>
      </c>
      <c r="M86" s="86">
        <f t="shared" si="12"/>
        <v>0</v>
      </c>
      <c r="N86" s="86">
        <f t="shared" si="13"/>
        <v>0</v>
      </c>
      <c r="O86" s="54">
        <f t="shared" si="14"/>
        <v>0</v>
      </c>
      <c r="P86" s="15"/>
      <c r="Q86" s="15"/>
    </row>
    <row r="87" spans="1:21" s="13" customFormat="1" ht="42" customHeight="1" x14ac:dyDescent="0.35">
      <c r="A87" s="28"/>
      <c r="B87" s="52"/>
      <c r="C87" s="50" t="s">
        <v>34</v>
      </c>
      <c r="D87" s="212" t="s">
        <v>110</v>
      </c>
      <c r="E87" s="213"/>
      <c r="F87" s="58">
        <v>7833841000</v>
      </c>
      <c r="G87" s="79" t="s">
        <v>132</v>
      </c>
      <c r="H87" s="165">
        <v>93.37</v>
      </c>
      <c r="I87" s="165">
        <v>93.37</v>
      </c>
      <c r="J87" s="15">
        <v>7314529069</v>
      </c>
      <c r="K87" s="165">
        <v>93.37</v>
      </c>
      <c r="L87" s="165">
        <v>93.37</v>
      </c>
      <c r="M87" s="86">
        <f t="shared" si="12"/>
        <v>0</v>
      </c>
      <c r="N87" s="86">
        <f t="shared" si="13"/>
        <v>0</v>
      </c>
      <c r="O87" s="54">
        <f t="shared" si="14"/>
        <v>519311931</v>
      </c>
      <c r="P87" s="15"/>
      <c r="Q87" s="15"/>
    </row>
    <row r="88" spans="1:21" s="13" customFormat="1" ht="42" customHeight="1" x14ac:dyDescent="0.35">
      <c r="A88" s="28"/>
      <c r="B88" s="52"/>
      <c r="C88" s="50" t="s">
        <v>35</v>
      </c>
      <c r="D88" s="212" t="s">
        <v>122</v>
      </c>
      <c r="E88" s="213"/>
      <c r="F88" s="58">
        <v>1000000000</v>
      </c>
      <c r="G88" s="79" t="s">
        <v>133</v>
      </c>
      <c r="H88" s="165">
        <v>97.12</v>
      </c>
      <c r="I88" s="165">
        <v>97.12</v>
      </c>
      <c r="J88" s="15">
        <v>971215000</v>
      </c>
      <c r="K88" s="165">
        <v>97.12</v>
      </c>
      <c r="L88" s="165">
        <v>97.12</v>
      </c>
      <c r="M88" s="86">
        <f t="shared" si="12"/>
        <v>0</v>
      </c>
      <c r="N88" s="86">
        <f t="shared" si="13"/>
        <v>0</v>
      </c>
      <c r="O88" s="54">
        <f t="shared" si="14"/>
        <v>28785000</v>
      </c>
      <c r="P88" s="15"/>
      <c r="Q88" s="15"/>
    </row>
    <row r="89" spans="1:21" s="13" customFormat="1" ht="42" customHeight="1" x14ac:dyDescent="0.35">
      <c r="A89" s="28"/>
      <c r="B89" s="52"/>
      <c r="C89" s="50" t="s">
        <v>36</v>
      </c>
      <c r="D89" s="212" t="s">
        <v>111</v>
      </c>
      <c r="E89" s="213"/>
      <c r="F89" s="60">
        <v>408280000</v>
      </c>
      <c r="G89" s="79" t="s">
        <v>132</v>
      </c>
      <c r="H89" s="165">
        <v>99.45</v>
      </c>
      <c r="I89" s="165">
        <v>99.45</v>
      </c>
      <c r="J89" s="15">
        <v>406030000</v>
      </c>
      <c r="K89" s="165">
        <v>99.45</v>
      </c>
      <c r="L89" s="165">
        <v>99.45</v>
      </c>
      <c r="M89" s="86">
        <f t="shared" si="12"/>
        <v>0</v>
      </c>
      <c r="N89" s="86">
        <f t="shared" si="13"/>
        <v>0</v>
      </c>
      <c r="O89" s="54">
        <f t="shared" si="14"/>
        <v>2250000</v>
      </c>
      <c r="P89" s="15"/>
      <c r="Q89" s="15"/>
    </row>
    <row r="90" spans="1:21" s="32" customFormat="1" ht="18" customHeight="1" x14ac:dyDescent="0.35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90"/>
      <c r="P90" s="72"/>
      <c r="Q90" s="72"/>
      <c r="R90" s="53"/>
      <c r="S90" s="53"/>
      <c r="T90" s="53"/>
      <c r="U90" s="53"/>
    </row>
    <row r="91" spans="1:21" s="33" customFormat="1" ht="20.25" customHeight="1" x14ac:dyDescent="0.3">
      <c r="A91" s="209"/>
      <c r="B91" s="209"/>
      <c r="C91" s="209"/>
      <c r="D91" s="209"/>
      <c r="E91" s="209"/>
      <c r="F91" s="55"/>
      <c r="G91" s="72"/>
      <c r="H91" s="55"/>
      <c r="I91" s="55"/>
      <c r="J91" s="55"/>
      <c r="K91" s="55"/>
      <c r="L91" s="55"/>
      <c r="M91" s="209" t="s">
        <v>106</v>
      </c>
      <c r="N91" s="209"/>
      <c r="O91" s="209"/>
      <c r="P91" s="209"/>
      <c r="Q91" s="209"/>
    </row>
    <row r="92" spans="1:21" s="4" customFormat="1" ht="16.5" customHeight="1" x14ac:dyDescent="0.35">
      <c r="A92" s="209"/>
      <c r="B92" s="209"/>
      <c r="C92" s="209"/>
      <c r="D92" s="209"/>
      <c r="E92" s="209"/>
      <c r="F92" s="72"/>
      <c r="G92" s="72"/>
      <c r="H92" s="72"/>
      <c r="I92" s="72"/>
      <c r="J92" s="72"/>
      <c r="K92" s="72"/>
      <c r="L92" s="72"/>
      <c r="M92" s="209" t="s">
        <v>9</v>
      </c>
      <c r="N92" s="209"/>
      <c r="O92" s="209"/>
      <c r="P92" s="209"/>
      <c r="Q92" s="209"/>
    </row>
    <row r="93" spans="1:21" s="4" customFormat="1" ht="16.5" customHeight="1" x14ac:dyDescent="0.3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81"/>
      <c r="N93" s="81"/>
      <c r="O93" s="81"/>
      <c r="P93" s="81"/>
      <c r="Q93" s="81"/>
    </row>
    <row r="94" spans="1:21" s="4" customFormat="1" ht="15" customHeight="1" x14ac:dyDescent="0.35">
      <c r="A94" s="29"/>
      <c r="B94" s="29"/>
      <c r="C94" s="72"/>
      <c r="D94" s="29"/>
      <c r="E94" s="29"/>
      <c r="F94" s="72"/>
      <c r="G94" s="72"/>
      <c r="H94" s="72"/>
      <c r="I94" s="72"/>
      <c r="J94" s="72"/>
      <c r="K94" s="72"/>
      <c r="L94" s="72"/>
      <c r="M94" s="29"/>
      <c r="N94" s="29"/>
      <c r="O94" s="81"/>
      <c r="P94" s="29"/>
      <c r="Q94" s="29"/>
    </row>
    <row r="95" spans="1:21" s="4" customFormat="1" ht="36" customHeight="1" x14ac:dyDescent="0.35">
      <c r="A95" s="210"/>
      <c r="B95" s="210"/>
      <c r="C95" s="210"/>
      <c r="D95" s="210"/>
      <c r="E95" s="210"/>
      <c r="F95" s="71"/>
      <c r="G95" s="71"/>
      <c r="H95" s="71"/>
      <c r="I95" s="71"/>
      <c r="J95" s="71"/>
      <c r="K95" s="71"/>
      <c r="L95" s="71"/>
      <c r="M95" s="210" t="s">
        <v>124</v>
      </c>
      <c r="N95" s="210"/>
      <c r="O95" s="210"/>
      <c r="P95" s="210"/>
      <c r="Q95" s="210"/>
    </row>
    <row r="96" spans="1:21" s="4" customFormat="1" ht="19.5" customHeight="1" x14ac:dyDescent="0.35">
      <c r="A96" s="211"/>
      <c r="B96" s="211"/>
      <c r="C96" s="211"/>
      <c r="D96" s="211"/>
      <c r="E96" s="211"/>
      <c r="F96" s="17"/>
      <c r="G96" s="80"/>
      <c r="H96" s="17"/>
      <c r="I96" s="17"/>
      <c r="J96" s="17"/>
      <c r="K96" s="17"/>
      <c r="L96" s="17"/>
      <c r="M96" s="211" t="s">
        <v>125</v>
      </c>
      <c r="N96" s="211"/>
      <c r="O96" s="211"/>
      <c r="P96" s="211"/>
      <c r="Q96" s="211"/>
    </row>
    <row r="97" spans="1:17" s="14" customFormat="1" ht="42.75" customHeight="1" x14ac:dyDescent="0.35">
      <c r="A97" s="1"/>
      <c r="B97" s="1"/>
      <c r="C97" s="1"/>
      <c r="D97" s="1"/>
      <c r="E97" s="1"/>
      <c r="F97" s="17"/>
      <c r="G97" s="80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s="4" customFormat="1" ht="62.25" customHeight="1" x14ac:dyDescent="0.35">
      <c r="A98" s="1"/>
      <c r="B98" s="1"/>
      <c r="C98" s="1"/>
      <c r="D98" s="1"/>
      <c r="E98" s="1"/>
      <c r="F98" s="17"/>
      <c r="G98" s="80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s="4" customFormat="1" ht="78.75" customHeight="1" x14ac:dyDescent="0.35">
      <c r="A99" s="1"/>
      <c r="B99" s="1"/>
      <c r="C99" s="1"/>
      <c r="D99" s="1"/>
      <c r="E99" s="1"/>
      <c r="F99" s="17"/>
      <c r="G99" s="80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s="13" customFormat="1" ht="74.25" customHeight="1" x14ac:dyDescent="0.35">
      <c r="A100" s="1"/>
      <c r="B100" s="1"/>
      <c r="C100" s="1"/>
      <c r="D100" s="1"/>
      <c r="E100" s="1"/>
      <c r="F100" s="17"/>
      <c r="G100" s="80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s="13" customFormat="1" ht="78.75" customHeight="1" x14ac:dyDescent="0.35">
      <c r="A101" s="1"/>
      <c r="B101" s="1"/>
      <c r="C101" s="1"/>
      <c r="D101" s="1"/>
      <c r="E101" s="1"/>
      <c r="F101" s="17"/>
      <c r="G101" s="80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s="13" customFormat="1" ht="39" customHeight="1" x14ac:dyDescent="0.35">
      <c r="A102" s="1"/>
      <c r="B102" s="1"/>
      <c r="C102" s="1"/>
      <c r="D102" s="1"/>
      <c r="E102" s="1"/>
      <c r="F102" s="17"/>
      <c r="G102" s="80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10" spans="1:17" ht="18.75" customHeight="1" x14ac:dyDescent="0.3"/>
    <row r="111" spans="1:17" ht="14.25" hidden="1" customHeight="1" x14ac:dyDescent="0.3"/>
    <row r="174" spans="1:17" s="2" customFormat="1" x14ac:dyDescent="0.3">
      <c r="A174" s="1"/>
      <c r="B174" s="1"/>
      <c r="C174" s="1"/>
      <c r="D174" s="1"/>
      <c r="E174" s="1"/>
      <c r="F174" s="17"/>
      <c r="G174" s="80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s="2" customFormat="1" x14ac:dyDescent="0.3">
      <c r="A175" s="1"/>
      <c r="B175" s="1"/>
      <c r="C175" s="1"/>
      <c r="D175" s="1"/>
      <c r="E175" s="1"/>
      <c r="F175" s="17"/>
      <c r="G175" s="80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</sheetData>
  <mergeCells count="78">
    <mergeCell ref="M91:Q91"/>
    <mergeCell ref="M92:Q92"/>
    <mergeCell ref="M95:Q95"/>
    <mergeCell ref="M96:Q96"/>
    <mergeCell ref="G5:G7"/>
    <mergeCell ref="H5:L5"/>
    <mergeCell ref="H6:I6"/>
    <mergeCell ref="A1:Q1"/>
    <mergeCell ref="A2:Q2"/>
    <mergeCell ref="E4:Q4"/>
    <mergeCell ref="A5:A7"/>
    <mergeCell ref="B5:E7"/>
    <mergeCell ref="F5:F7"/>
    <mergeCell ref="M5:N7"/>
    <mergeCell ref="P5:P7"/>
    <mergeCell ref="Q5:Q7"/>
    <mergeCell ref="O5:O7"/>
    <mergeCell ref="J6:L6"/>
    <mergeCell ref="B8:E8"/>
    <mergeCell ref="B9:E9"/>
    <mergeCell ref="B10:E10"/>
    <mergeCell ref="C11:E11"/>
    <mergeCell ref="D12:E12"/>
    <mergeCell ref="D50:E50"/>
    <mergeCell ref="D14:E14"/>
    <mergeCell ref="D17:E17"/>
    <mergeCell ref="B24:E24"/>
    <mergeCell ref="B25:E25"/>
    <mergeCell ref="C26:E26"/>
    <mergeCell ref="D27:E27"/>
    <mergeCell ref="D37:E37"/>
    <mergeCell ref="D40:E40"/>
    <mergeCell ref="B47:E47"/>
    <mergeCell ref="B48:E48"/>
    <mergeCell ref="D49:E49"/>
    <mergeCell ref="D62:E62"/>
    <mergeCell ref="D51:E51"/>
    <mergeCell ref="D52:E52"/>
    <mergeCell ref="D53:E53"/>
    <mergeCell ref="D54:E54"/>
    <mergeCell ref="D55:E55"/>
    <mergeCell ref="D56:E56"/>
    <mergeCell ref="B57:E57"/>
    <mergeCell ref="D58:E58"/>
    <mergeCell ref="D59:E59"/>
    <mergeCell ref="C60:E60"/>
    <mergeCell ref="D61:E61"/>
    <mergeCell ref="B74:E74"/>
    <mergeCell ref="D63:E63"/>
    <mergeCell ref="B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6:E86"/>
    <mergeCell ref="D75:E75"/>
    <mergeCell ref="D76:E76"/>
    <mergeCell ref="D77:E77"/>
    <mergeCell ref="B78:E78"/>
    <mergeCell ref="D79:E79"/>
    <mergeCell ref="D80:E80"/>
    <mergeCell ref="D81:E81"/>
    <mergeCell ref="B82:E82"/>
    <mergeCell ref="D83:E83"/>
    <mergeCell ref="D84:E84"/>
    <mergeCell ref="D85:E85"/>
    <mergeCell ref="A92:E92"/>
    <mergeCell ref="A95:E95"/>
    <mergeCell ref="A96:E96"/>
    <mergeCell ref="D87:E87"/>
    <mergeCell ref="D88:E88"/>
    <mergeCell ref="D89:E89"/>
    <mergeCell ref="A91:E91"/>
  </mergeCells>
  <printOptions horizontalCentered="1"/>
  <pageMargins left="0" right="0" top="0.39370078740157483" bottom="0" header="0.19685039370078741" footer="0.15748031496062992"/>
  <pageSetup paperSize="5" scale="55" orientation="landscape" r:id="rId1"/>
  <headerFooter scaleWithDoc="0" alignWithMargins="0"/>
  <rowBreaks count="3" manualBreakCount="3">
    <brk id="25" max="16" man="1"/>
    <brk id="48" max="16" man="1"/>
    <brk id="6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76"/>
  <sheetViews>
    <sheetView tabSelected="1" view="pageBreakPreview" zoomScale="70" zoomScaleNormal="70" zoomScaleSheetLayoutView="70" workbookViewId="0">
      <selection activeCell="L24" sqref="L24"/>
    </sheetView>
  </sheetViews>
  <sheetFormatPr defaultColWidth="9.1796875" defaultRowHeight="13" x14ac:dyDescent="0.3"/>
  <cols>
    <col min="1" max="1" width="5.7265625" style="1" customWidth="1"/>
    <col min="2" max="2" width="1.453125" style="1" customWidth="1"/>
    <col min="3" max="3" width="4.1796875" style="1" customWidth="1"/>
    <col min="4" max="4" width="2.81640625" style="1" customWidth="1"/>
    <col min="5" max="5" width="36.453125" style="1" customWidth="1"/>
    <col min="6" max="6" width="20.26953125" style="17" customWidth="1"/>
    <col min="7" max="18" width="18.81640625" style="17" customWidth="1"/>
    <col min="19" max="19" width="19.81640625" style="17" customWidth="1"/>
    <col min="20" max="20" width="19.453125" style="17" customWidth="1"/>
    <col min="21" max="21" width="9.1796875" style="3" customWidth="1"/>
    <col min="22" max="16384" width="9.1796875" style="1"/>
  </cols>
  <sheetData>
    <row r="1" spans="1:21" s="5" customFormat="1" ht="24.5" x14ac:dyDescent="0.5">
      <c r="A1" s="177" t="s">
        <v>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s="5" customFormat="1" ht="24.5" x14ac:dyDescent="0.5">
      <c r="A2" s="177" t="s">
        <v>71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s="5" customFormat="1" ht="26.25" customHeight="1" x14ac:dyDescent="0.5">
      <c r="A3" s="177" t="s">
        <v>152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s="5" customFormat="1" ht="26.25" customHeight="1" x14ac:dyDescent="0.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5" customFormat="1" ht="48.75" customHeight="1" x14ac:dyDescent="0.5">
      <c r="A5" s="23" t="s">
        <v>15</v>
      </c>
      <c r="B5" s="23"/>
      <c r="C5" s="24"/>
      <c r="D5" s="24" t="s">
        <v>16</v>
      </c>
      <c r="E5" s="234" t="s">
        <v>48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55"/>
    </row>
    <row r="6" spans="1:21" s="6" customFormat="1" ht="17.25" customHeight="1" x14ac:dyDescent="0.35">
      <c r="A6" s="236" t="s">
        <v>0</v>
      </c>
      <c r="B6" s="237" t="s">
        <v>1</v>
      </c>
      <c r="C6" s="237"/>
      <c r="D6" s="237"/>
      <c r="E6" s="237"/>
      <c r="F6" s="238" t="s">
        <v>5</v>
      </c>
      <c r="G6" s="256" t="s">
        <v>151</v>
      </c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</row>
    <row r="7" spans="1:21" s="6" customFormat="1" ht="18.75" customHeight="1" x14ac:dyDescent="0.35">
      <c r="A7" s="236"/>
      <c r="B7" s="237"/>
      <c r="C7" s="237"/>
      <c r="D7" s="237"/>
      <c r="E7" s="237"/>
      <c r="F7" s="238"/>
      <c r="G7" s="238" t="s">
        <v>8</v>
      </c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 t="s">
        <v>4</v>
      </c>
      <c r="U7" s="237" t="s">
        <v>7</v>
      </c>
    </row>
    <row r="8" spans="1:21" s="6" customFormat="1" ht="15.75" customHeight="1" x14ac:dyDescent="0.35">
      <c r="A8" s="236"/>
      <c r="B8" s="237"/>
      <c r="C8" s="237"/>
      <c r="D8" s="237"/>
      <c r="E8" s="237"/>
      <c r="F8" s="238"/>
      <c r="G8" s="153" t="s">
        <v>11</v>
      </c>
      <c r="H8" s="153" t="s">
        <v>118</v>
      </c>
      <c r="I8" s="153" t="s">
        <v>119</v>
      </c>
      <c r="J8" s="153" t="s">
        <v>120</v>
      </c>
      <c r="K8" s="153" t="s">
        <v>121</v>
      </c>
      <c r="L8" s="153" t="s">
        <v>123</v>
      </c>
      <c r="M8" s="153" t="s">
        <v>126</v>
      </c>
      <c r="N8" s="153" t="s">
        <v>148</v>
      </c>
      <c r="O8" s="153" t="s">
        <v>149</v>
      </c>
      <c r="P8" s="153" t="s">
        <v>150</v>
      </c>
      <c r="Q8" s="153" t="s">
        <v>158</v>
      </c>
      <c r="R8" s="153" t="s">
        <v>159</v>
      </c>
      <c r="S8" s="16" t="s">
        <v>6</v>
      </c>
      <c r="T8" s="238"/>
      <c r="U8" s="237"/>
    </row>
    <row r="9" spans="1:21" s="7" customFormat="1" ht="18" customHeight="1" x14ac:dyDescent="0.35">
      <c r="A9" s="25">
        <v>1</v>
      </c>
      <c r="B9" s="232">
        <v>2</v>
      </c>
      <c r="C9" s="232"/>
      <c r="D9" s="232"/>
      <c r="E9" s="232"/>
      <c r="F9" s="151">
        <v>3</v>
      </c>
      <c r="G9" s="151">
        <v>4</v>
      </c>
      <c r="H9" s="151">
        <v>5</v>
      </c>
      <c r="I9" s="151">
        <v>6</v>
      </c>
      <c r="J9" s="151">
        <v>7</v>
      </c>
      <c r="K9" s="151">
        <v>8</v>
      </c>
      <c r="L9" s="151">
        <v>9</v>
      </c>
      <c r="M9" s="151">
        <v>10</v>
      </c>
      <c r="N9" s="151">
        <v>11</v>
      </c>
      <c r="O9" s="151">
        <v>12</v>
      </c>
      <c r="P9" s="151">
        <v>13</v>
      </c>
      <c r="Q9" s="151">
        <v>14</v>
      </c>
      <c r="R9" s="151">
        <v>15</v>
      </c>
      <c r="S9" s="36">
        <v>16</v>
      </c>
      <c r="T9" s="151">
        <v>17</v>
      </c>
      <c r="U9" s="151">
        <v>18</v>
      </c>
    </row>
    <row r="10" spans="1:21" s="7" customFormat="1" ht="27" customHeight="1" x14ac:dyDescent="0.35">
      <c r="A10" s="37" t="s">
        <v>68</v>
      </c>
      <c r="B10" s="229" t="s">
        <v>10</v>
      </c>
      <c r="C10" s="229"/>
      <c r="D10" s="229"/>
      <c r="E10" s="229"/>
      <c r="F10" s="15">
        <f t="shared" ref="F10:R11" si="0">SUM(F11)</f>
        <v>2220372180</v>
      </c>
      <c r="G10" s="15">
        <f t="shared" si="0"/>
        <v>37154600</v>
      </c>
      <c r="H10" s="15">
        <f t="shared" si="0"/>
        <v>53340700</v>
      </c>
      <c r="I10" s="15">
        <f t="shared" si="0"/>
        <v>45241000</v>
      </c>
      <c r="J10" s="15">
        <f t="shared" si="0"/>
        <v>62522200</v>
      </c>
      <c r="K10" s="15">
        <f t="shared" si="0"/>
        <v>39521300</v>
      </c>
      <c r="L10" s="15">
        <f t="shared" si="0"/>
        <v>45620500</v>
      </c>
      <c r="M10" s="15">
        <f t="shared" si="0"/>
        <v>57984500</v>
      </c>
      <c r="N10" s="15">
        <f t="shared" si="0"/>
        <v>50033400</v>
      </c>
      <c r="O10" s="15">
        <f t="shared" si="0"/>
        <v>62663300</v>
      </c>
      <c r="P10" s="15">
        <f t="shared" si="0"/>
        <v>78482800</v>
      </c>
      <c r="Q10" s="15">
        <f t="shared" si="0"/>
        <v>78646100</v>
      </c>
      <c r="R10" s="15">
        <f t="shared" si="0"/>
        <v>116895900</v>
      </c>
      <c r="S10" s="15">
        <f>SUM(G10:R10)</f>
        <v>728106300</v>
      </c>
      <c r="T10" s="54">
        <f t="shared" ref="T10:T25" si="1">F10-S10</f>
        <v>1492265880</v>
      </c>
      <c r="U10" s="8">
        <f t="shared" ref="U10:U52" si="2">S10/F10*100</f>
        <v>32.792083532590475</v>
      </c>
    </row>
    <row r="11" spans="1:21" s="7" customFormat="1" ht="42.75" customHeight="1" x14ac:dyDescent="0.35">
      <c r="A11" s="37"/>
      <c r="B11" s="229" t="s">
        <v>52</v>
      </c>
      <c r="C11" s="229"/>
      <c r="D11" s="229"/>
      <c r="E11" s="229"/>
      <c r="F11" s="15">
        <f t="shared" si="0"/>
        <v>2220372180</v>
      </c>
      <c r="G11" s="15">
        <f t="shared" si="0"/>
        <v>37154600</v>
      </c>
      <c r="H11" s="15">
        <f t="shared" si="0"/>
        <v>53340700</v>
      </c>
      <c r="I11" s="15">
        <f t="shared" si="0"/>
        <v>45241000</v>
      </c>
      <c r="J11" s="15">
        <f t="shared" si="0"/>
        <v>62522200</v>
      </c>
      <c r="K11" s="15">
        <f t="shared" si="0"/>
        <v>39521300</v>
      </c>
      <c r="L11" s="15">
        <f t="shared" si="0"/>
        <v>45620500</v>
      </c>
      <c r="M11" s="15">
        <f t="shared" si="0"/>
        <v>57984500</v>
      </c>
      <c r="N11" s="15">
        <f t="shared" si="0"/>
        <v>50033400</v>
      </c>
      <c r="O11" s="15">
        <f t="shared" si="0"/>
        <v>62663300</v>
      </c>
      <c r="P11" s="15">
        <f t="shared" si="0"/>
        <v>78482800</v>
      </c>
      <c r="Q11" s="15">
        <f t="shared" si="0"/>
        <v>78646100</v>
      </c>
      <c r="R11" s="15">
        <f t="shared" si="0"/>
        <v>116895900</v>
      </c>
      <c r="S11" s="15">
        <f t="shared" ref="S11:S74" si="3">SUM(G11:R11)</f>
        <v>728106300</v>
      </c>
      <c r="T11" s="54">
        <f t="shared" si="1"/>
        <v>1492265880</v>
      </c>
      <c r="U11" s="8">
        <f t="shared" si="2"/>
        <v>32.792083532590475</v>
      </c>
    </row>
    <row r="12" spans="1:21" s="7" customFormat="1" ht="33.75" customHeight="1" x14ac:dyDescent="0.35">
      <c r="A12" s="25"/>
      <c r="B12" s="38"/>
      <c r="C12" s="229" t="s">
        <v>53</v>
      </c>
      <c r="D12" s="233"/>
      <c r="E12" s="233"/>
      <c r="F12" s="15">
        <f t="shared" ref="F12:R12" si="4">SUM(F13+F15+F17+F19+F21+F23)</f>
        <v>2220372180</v>
      </c>
      <c r="G12" s="15">
        <f t="shared" si="4"/>
        <v>37154600</v>
      </c>
      <c r="H12" s="15">
        <f t="shared" si="4"/>
        <v>53340700</v>
      </c>
      <c r="I12" s="15">
        <f t="shared" si="4"/>
        <v>45241000</v>
      </c>
      <c r="J12" s="15">
        <f t="shared" si="4"/>
        <v>62522200</v>
      </c>
      <c r="K12" s="15">
        <f t="shared" si="4"/>
        <v>39521300</v>
      </c>
      <c r="L12" s="15">
        <f t="shared" si="4"/>
        <v>45620500</v>
      </c>
      <c r="M12" s="15">
        <f t="shared" si="4"/>
        <v>57984500</v>
      </c>
      <c r="N12" s="15">
        <f t="shared" si="4"/>
        <v>50033400</v>
      </c>
      <c r="O12" s="15">
        <f t="shared" si="4"/>
        <v>62663300</v>
      </c>
      <c r="P12" s="15">
        <f t="shared" si="4"/>
        <v>78482800</v>
      </c>
      <c r="Q12" s="15">
        <f t="shared" si="4"/>
        <v>78646100</v>
      </c>
      <c r="R12" s="15">
        <f t="shared" si="4"/>
        <v>116895900</v>
      </c>
      <c r="S12" s="15">
        <f t="shared" si="3"/>
        <v>728106300</v>
      </c>
      <c r="T12" s="54">
        <f t="shared" si="1"/>
        <v>1492265880</v>
      </c>
      <c r="U12" s="8">
        <f t="shared" si="2"/>
        <v>32.792083532590475</v>
      </c>
    </row>
    <row r="13" spans="1:21" s="7" customFormat="1" ht="45" customHeight="1" x14ac:dyDescent="0.35">
      <c r="A13" s="25"/>
      <c r="B13" s="38"/>
      <c r="C13" s="38"/>
      <c r="D13" s="229" t="s">
        <v>54</v>
      </c>
      <c r="E13" s="229"/>
      <c r="F13" s="15">
        <f t="shared" ref="F13:R13" si="5">SUM(F14)</f>
        <v>1331270000</v>
      </c>
      <c r="G13" s="15">
        <f t="shared" si="5"/>
        <v>25117000</v>
      </c>
      <c r="H13" s="15">
        <f t="shared" si="5"/>
        <v>41290000</v>
      </c>
      <c r="I13" s="15">
        <f t="shared" si="5"/>
        <v>27563000</v>
      </c>
      <c r="J13" s="15">
        <f t="shared" si="5"/>
        <v>38676000</v>
      </c>
      <c r="K13" s="15">
        <f t="shared" si="5"/>
        <v>23035000</v>
      </c>
      <c r="L13" s="15">
        <f t="shared" si="5"/>
        <v>23770000</v>
      </c>
      <c r="M13" s="15">
        <f t="shared" si="5"/>
        <v>44000000</v>
      </c>
      <c r="N13" s="15">
        <f t="shared" si="5"/>
        <v>45196000</v>
      </c>
      <c r="O13" s="15">
        <f t="shared" si="5"/>
        <v>43800000</v>
      </c>
      <c r="P13" s="15">
        <f t="shared" si="5"/>
        <v>66025000</v>
      </c>
      <c r="Q13" s="15">
        <f t="shared" si="5"/>
        <v>56570000</v>
      </c>
      <c r="R13" s="15">
        <f t="shared" si="5"/>
        <v>93846000</v>
      </c>
      <c r="S13" s="15">
        <f t="shared" si="3"/>
        <v>528888000</v>
      </c>
      <c r="T13" s="54">
        <f t="shared" si="1"/>
        <v>802382000</v>
      </c>
      <c r="U13" s="8">
        <f t="shared" si="2"/>
        <v>39.728079202565972</v>
      </c>
    </row>
    <row r="14" spans="1:21" s="7" customFormat="1" ht="52.5" customHeight="1" x14ac:dyDescent="0.35">
      <c r="A14" s="25"/>
      <c r="B14" s="38"/>
      <c r="C14" s="38"/>
      <c r="D14" s="149"/>
      <c r="E14" s="149" t="s">
        <v>12</v>
      </c>
      <c r="F14" s="39">
        <v>1331270000</v>
      </c>
      <c r="G14" s="39">
        <v>25117000</v>
      </c>
      <c r="H14" s="39">
        <v>41290000</v>
      </c>
      <c r="I14" s="39">
        <v>27563000</v>
      </c>
      <c r="J14" s="39">
        <v>38676000</v>
      </c>
      <c r="K14" s="39">
        <v>23035000</v>
      </c>
      <c r="L14" s="39">
        <v>23770000</v>
      </c>
      <c r="M14" s="39">
        <v>44000000</v>
      </c>
      <c r="N14" s="39">
        <v>45196000</v>
      </c>
      <c r="O14" s="39">
        <v>43800000</v>
      </c>
      <c r="P14" s="39">
        <v>66025000</v>
      </c>
      <c r="Q14" s="39">
        <v>56570000</v>
      </c>
      <c r="R14" s="39">
        <v>93846000</v>
      </c>
      <c r="S14" s="15">
        <f t="shared" si="3"/>
        <v>528888000</v>
      </c>
      <c r="T14" s="54">
        <f t="shared" si="1"/>
        <v>802382000</v>
      </c>
      <c r="U14" s="8">
        <f t="shared" si="2"/>
        <v>39.728079202565972</v>
      </c>
    </row>
    <row r="15" spans="1:21" s="7" customFormat="1" ht="66.75" customHeight="1" x14ac:dyDescent="0.35">
      <c r="A15" s="25"/>
      <c r="B15" s="38"/>
      <c r="C15" s="38"/>
      <c r="D15" s="229" t="s">
        <v>55</v>
      </c>
      <c r="E15" s="229"/>
      <c r="F15" s="15">
        <f t="shared" ref="F15:R15" si="6">SUM(F16)</f>
        <v>544500000</v>
      </c>
      <c r="G15" s="15">
        <f t="shared" si="6"/>
        <v>6746000</v>
      </c>
      <c r="H15" s="15">
        <f t="shared" si="6"/>
        <v>3459500</v>
      </c>
      <c r="I15" s="15">
        <f t="shared" si="6"/>
        <v>3681500</v>
      </c>
      <c r="J15" s="15">
        <f t="shared" si="6"/>
        <v>3776000</v>
      </c>
      <c r="K15" s="15">
        <f t="shared" si="6"/>
        <v>3145000</v>
      </c>
      <c r="L15" s="15">
        <f t="shared" si="6"/>
        <v>1806000</v>
      </c>
      <c r="M15" s="15">
        <f t="shared" si="6"/>
        <v>4080500</v>
      </c>
      <c r="N15" s="15">
        <f t="shared" si="6"/>
        <v>2935000</v>
      </c>
      <c r="O15" s="15">
        <f t="shared" si="6"/>
        <v>3108000</v>
      </c>
      <c r="P15" s="15">
        <f t="shared" si="6"/>
        <v>4335000</v>
      </c>
      <c r="Q15" s="15">
        <f t="shared" si="6"/>
        <v>2958500</v>
      </c>
      <c r="R15" s="15">
        <f t="shared" si="6"/>
        <v>2455500</v>
      </c>
      <c r="S15" s="15">
        <f t="shared" si="3"/>
        <v>42486500</v>
      </c>
      <c r="T15" s="54">
        <f t="shared" si="1"/>
        <v>502013500</v>
      </c>
      <c r="U15" s="8">
        <f t="shared" si="2"/>
        <v>7.8028466483011938</v>
      </c>
    </row>
    <row r="16" spans="1:21" s="7" customFormat="1" ht="63.75" customHeight="1" x14ac:dyDescent="0.35">
      <c r="A16" s="25"/>
      <c r="B16" s="38"/>
      <c r="C16" s="38"/>
      <c r="D16" s="149"/>
      <c r="E16" s="149" t="s">
        <v>56</v>
      </c>
      <c r="F16" s="39">
        <v>544500000</v>
      </c>
      <c r="G16" s="40">
        <v>6746000</v>
      </c>
      <c r="H16" s="40">
        <v>3459500</v>
      </c>
      <c r="I16" s="40">
        <v>3681500</v>
      </c>
      <c r="J16" s="40">
        <v>3776000</v>
      </c>
      <c r="K16" s="40">
        <v>3145000</v>
      </c>
      <c r="L16" s="40">
        <v>1806000</v>
      </c>
      <c r="M16" s="40">
        <v>4080500</v>
      </c>
      <c r="N16" s="40">
        <v>2935000</v>
      </c>
      <c r="O16" s="40">
        <v>3108000</v>
      </c>
      <c r="P16" s="40">
        <v>4335000</v>
      </c>
      <c r="Q16" s="40">
        <v>2958500</v>
      </c>
      <c r="R16" s="40">
        <v>2455500</v>
      </c>
      <c r="S16" s="15">
        <f t="shared" si="3"/>
        <v>42486500</v>
      </c>
      <c r="T16" s="54">
        <f t="shared" si="1"/>
        <v>502013500</v>
      </c>
      <c r="U16" s="8">
        <f t="shared" si="2"/>
        <v>7.8028466483011938</v>
      </c>
    </row>
    <row r="17" spans="1:21" s="7" customFormat="1" ht="53.25" customHeight="1" x14ac:dyDescent="0.35">
      <c r="A17" s="25"/>
      <c r="B17" s="38"/>
      <c r="C17" s="38"/>
      <c r="D17" s="149"/>
      <c r="E17" s="148" t="s">
        <v>57</v>
      </c>
      <c r="F17" s="15">
        <f>SUM(F18)</f>
        <v>12000000</v>
      </c>
      <c r="G17" s="15">
        <f>SUM(G18)</f>
        <v>0</v>
      </c>
      <c r="H17" s="15">
        <f>SUM(H18)</f>
        <v>3000000</v>
      </c>
      <c r="I17" s="15">
        <f>SUM(I18)</f>
        <v>0</v>
      </c>
      <c r="J17" s="15">
        <v>0</v>
      </c>
      <c r="K17" s="15">
        <f>SUM(K18)</f>
        <v>2000000</v>
      </c>
      <c r="L17" s="15">
        <f>SUM(L18)</f>
        <v>0</v>
      </c>
      <c r="M17" s="15">
        <f>SUM(M18)</f>
        <v>2000000</v>
      </c>
      <c r="N17" s="15">
        <f>SUM(N18)</f>
        <v>1000000</v>
      </c>
      <c r="O17" s="15">
        <f>SUM(O18)</f>
        <v>1000000</v>
      </c>
      <c r="P17" s="15">
        <f>P18</f>
        <v>0</v>
      </c>
      <c r="Q17" s="15">
        <f>SUM(Q18)</f>
        <v>2000000</v>
      </c>
      <c r="R17" s="15">
        <f>SUM(R18)</f>
        <v>1000000</v>
      </c>
      <c r="S17" s="15">
        <f t="shared" si="3"/>
        <v>12000000</v>
      </c>
      <c r="T17" s="54">
        <f t="shared" si="1"/>
        <v>0</v>
      </c>
      <c r="U17" s="8">
        <f t="shared" si="2"/>
        <v>100</v>
      </c>
    </row>
    <row r="18" spans="1:21" s="7" customFormat="1" ht="35.25" customHeight="1" x14ac:dyDescent="0.35">
      <c r="A18" s="25"/>
      <c r="B18" s="38"/>
      <c r="C18" s="38"/>
      <c r="D18" s="230" t="s">
        <v>58</v>
      </c>
      <c r="E18" s="230"/>
      <c r="F18" s="39">
        <v>12000000</v>
      </c>
      <c r="G18" s="40">
        <v>0</v>
      </c>
      <c r="H18" s="40">
        <v>3000000</v>
      </c>
      <c r="I18" s="40">
        <v>0</v>
      </c>
      <c r="J18" s="40">
        <v>0</v>
      </c>
      <c r="K18" s="40">
        <v>2000000</v>
      </c>
      <c r="L18" s="40">
        <v>0</v>
      </c>
      <c r="M18" s="40">
        <v>2000000</v>
      </c>
      <c r="N18" s="40">
        <v>1000000</v>
      </c>
      <c r="O18" s="39">
        <v>1000000</v>
      </c>
      <c r="P18" s="39">
        <v>0</v>
      </c>
      <c r="Q18" s="39">
        <v>2000000</v>
      </c>
      <c r="R18" s="39">
        <v>1000000</v>
      </c>
      <c r="S18" s="15">
        <f t="shared" si="3"/>
        <v>12000000</v>
      </c>
      <c r="T18" s="54">
        <f t="shared" si="1"/>
        <v>0</v>
      </c>
      <c r="U18" s="8">
        <f t="shared" si="2"/>
        <v>100</v>
      </c>
    </row>
    <row r="19" spans="1:21" s="170" customFormat="1" ht="51.75" customHeight="1" x14ac:dyDescent="0.35">
      <c r="A19" s="25"/>
      <c r="B19" s="38"/>
      <c r="C19" s="38"/>
      <c r="D19" s="169"/>
      <c r="E19" s="168" t="s">
        <v>13</v>
      </c>
      <c r="F19" s="15">
        <f>SUM(F20)</f>
        <v>195602180</v>
      </c>
      <c r="G19" s="15">
        <f>SUM(G20)</f>
        <v>4539000</v>
      </c>
      <c r="H19" s="15">
        <f>SUM(H20)</f>
        <v>5228000</v>
      </c>
      <c r="I19" s="15">
        <f t="shared" ref="I19:N19" si="7">I20</f>
        <v>6380000</v>
      </c>
      <c r="J19" s="15">
        <f t="shared" si="7"/>
        <v>5973000</v>
      </c>
      <c r="K19" s="15">
        <f t="shared" si="7"/>
        <v>5327000</v>
      </c>
      <c r="L19" s="15">
        <f t="shared" si="7"/>
        <v>5603000</v>
      </c>
      <c r="M19" s="15">
        <f t="shared" si="7"/>
        <v>3132000</v>
      </c>
      <c r="N19" s="15">
        <f t="shared" si="7"/>
        <v>0</v>
      </c>
      <c r="O19" s="15">
        <v>0</v>
      </c>
      <c r="P19" s="15">
        <v>0</v>
      </c>
      <c r="Q19" s="15">
        <v>0</v>
      </c>
      <c r="R19" s="15">
        <v>0</v>
      </c>
      <c r="S19" s="15">
        <f t="shared" si="3"/>
        <v>36182000</v>
      </c>
      <c r="T19" s="54">
        <f t="shared" si="1"/>
        <v>159420180</v>
      </c>
      <c r="U19" s="8">
        <f t="shared" si="2"/>
        <v>18.49774884922039</v>
      </c>
    </row>
    <row r="20" spans="1:21" s="170" customFormat="1" ht="33" customHeight="1" x14ac:dyDescent="0.35">
      <c r="A20" s="25"/>
      <c r="B20" s="38"/>
      <c r="C20" s="38"/>
      <c r="D20" s="169"/>
      <c r="E20" s="169" t="s">
        <v>59</v>
      </c>
      <c r="F20" s="39">
        <v>195602180</v>
      </c>
      <c r="G20" s="40">
        <v>4539000</v>
      </c>
      <c r="H20" s="40">
        <v>5228000</v>
      </c>
      <c r="I20" s="40">
        <v>6380000</v>
      </c>
      <c r="J20" s="40">
        <v>5973000</v>
      </c>
      <c r="K20" s="40">
        <v>5327000</v>
      </c>
      <c r="L20" s="40">
        <v>5603000</v>
      </c>
      <c r="M20" s="40">
        <v>3132000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15">
        <f t="shared" si="3"/>
        <v>36182000</v>
      </c>
      <c r="T20" s="54">
        <f t="shared" si="1"/>
        <v>159420180</v>
      </c>
      <c r="U20" s="8">
        <f t="shared" si="2"/>
        <v>18.49774884922039</v>
      </c>
    </row>
    <row r="21" spans="1:21" s="7" customFormat="1" ht="45.75" customHeight="1" x14ac:dyDescent="0.35">
      <c r="A21" s="25"/>
      <c r="B21" s="38"/>
      <c r="C21" s="38"/>
      <c r="D21" s="149"/>
      <c r="E21" s="149" t="s">
        <v>60</v>
      </c>
      <c r="F21" s="15">
        <f>SUM(F22)</f>
        <v>100000000</v>
      </c>
      <c r="G21" s="15">
        <f>SUM(G22)</f>
        <v>0</v>
      </c>
      <c r="H21" s="15">
        <f>SUM(H22)</f>
        <v>0</v>
      </c>
      <c r="I21" s="15">
        <f t="shared" ref="I21:R21" si="8">I22</f>
        <v>7600000</v>
      </c>
      <c r="J21" s="15">
        <f t="shared" si="8"/>
        <v>14000000</v>
      </c>
      <c r="K21" s="15">
        <f t="shared" si="8"/>
        <v>5000000</v>
      </c>
      <c r="L21" s="15">
        <f t="shared" si="8"/>
        <v>14350000</v>
      </c>
      <c r="M21" s="15">
        <f t="shared" si="8"/>
        <v>4500000</v>
      </c>
      <c r="N21" s="15">
        <f t="shared" si="8"/>
        <v>0</v>
      </c>
      <c r="O21" s="15">
        <f t="shared" si="8"/>
        <v>14450000</v>
      </c>
      <c r="P21" s="15">
        <f t="shared" si="8"/>
        <v>3900000</v>
      </c>
      <c r="Q21" s="15">
        <f t="shared" si="8"/>
        <v>16863000</v>
      </c>
      <c r="R21" s="15">
        <f t="shared" si="8"/>
        <v>19337000</v>
      </c>
      <c r="S21" s="15">
        <f t="shared" si="3"/>
        <v>100000000</v>
      </c>
      <c r="T21" s="54">
        <f t="shared" si="1"/>
        <v>0</v>
      </c>
      <c r="U21" s="8">
        <f t="shared" si="2"/>
        <v>100</v>
      </c>
    </row>
    <row r="22" spans="1:21" s="7" customFormat="1" ht="45.75" customHeight="1" x14ac:dyDescent="0.35">
      <c r="A22" s="25"/>
      <c r="B22" s="38"/>
      <c r="C22" s="38"/>
      <c r="D22" s="149"/>
      <c r="E22" s="149" t="s">
        <v>61</v>
      </c>
      <c r="F22" s="39">
        <v>100000000</v>
      </c>
      <c r="G22" s="40">
        <v>0</v>
      </c>
      <c r="H22" s="40">
        <v>0</v>
      </c>
      <c r="I22" s="40">
        <v>7600000</v>
      </c>
      <c r="J22" s="40">
        <v>14000000</v>
      </c>
      <c r="K22" s="40">
        <v>5000000</v>
      </c>
      <c r="L22" s="40">
        <v>14350000</v>
      </c>
      <c r="M22" s="40">
        <v>4500000</v>
      </c>
      <c r="N22" s="40">
        <v>0</v>
      </c>
      <c r="O22" s="39">
        <v>14450000</v>
      </c>
      <c r="P22" s="39">
        <v>3900000</v>
      </c>
      <c r="Q22" s="39">
        <v>16863000</v>
      </c>
      <c r="R22" s="39">
        <v>19337000</v>
      </c>
      <c r="S22" s="15">
        <f t="shared" si="3"/>
        <v>100000000</v>
      </c>
      <c r="T22" s="54">
        <f t="shared" si="1"/>
        <v>0</v>
      </c>
      <c r="U22" s="8">
        <f t="shared" si="2"/>
        <v>100</v>
      </c>
    </row>
    <row r="23" spans="1:21" s="7" customFormat="1" ht="45.75" customHeight="1" x14ac:dyDescent="0.35">
      <c r="A23" s="25"/>
      <c r="B23" s="38"/>
      <c r="C23" s="38"/>
      <c r="D23" s="149"/>
      <c r="E23" s="148" t="s">
        <v>14</v>
      </c>
      <c r="F23" s="15">
        <f t="shared" ref="F23:R23" si="9">SUM(F24)</f>
        <v>37000000</v>
      </c>
      <c r="G23" s="15">
        <f t="shared" si="9"/>
        <v>752600</v>
      </c>
      <c r="H23" s="15">
        <f t="shared" si="9"/>
        <v>363200</v>
      </c>
      <c r="I23" s="15">
        <f t="shared" si="9"/>
        <v>16500</v>
      </c>
      <c r="J23" s="15">
        <f t="shared" si="9"/>
        <v>97200</v>
      </c>
      <c r="K23" s="15">
        <f t="shared" si="9"/>
        <v>1014300</v>
      </c>
      <c r="L23" s="15">
        <f t="shared" si="9"/>
        <v>91500</v>
      </c>
      <c r="M23" s="15">
        <f t="shared" si="9"/>
        <v>272000</v>
      </c>
      <c r="N23" s="15">
        <f t="shared" si="9"/>
        <v>902400</v>
      </c>
      <c r="O23" s="15">
        <f t="shared" si="9"/>
        <v>305300</v>
      </c>
      <c r="P23" s="15">
        <f t="shared" si="9"/>
        <v>4222800</v>
      </c>
      <c r="Q23" s="15">
        <f t="shared" si="9"/>
        <v>254600</v>
      </c>
      <c r="R23" s="15">
        <f t="shared" si="9"/>
        <v>257400</v>
      </c>
      <c r="S23" s="15">
        <f t="shared" si="3"/>
        <v>8549800</v>
      </c>
      <c r="T23" s="54">
        <f t="shared" si="1"/>
        <v>28450200</v>
      </c>
      <c r="U23" s="8">
        <f t="shared" si="2"/>
        <v>23.107567567567568</v>
      </c>
    </row>
    <row r="24" spans="1:21" s="7" customFormat="1" ht="45.75" customHeight="1" x14ac:dyDescent="0.35">
      <c r="A24" s="25"/>
      <c r="B24" s="38"/>
      <c r="C24" s="38"/>
      <c r="D24" s="149"/>
      <c r="E24" s="149" t="s">
        <v>62</v>
      </c>
      <c r="F24" s="39">
        <v>37000000</v>
      </c>
      <c r="G24" s="40">
        <v>752600</v>
      </c>
      <c r="H24" s="40">
        <v>363200</v>
      </c>
      <c r="I24" s="40">
        <v>16500</v>
      </c>
      <c r="J24" s="40">
        <v>97200</v>
      </c>
      <c r="K24" s="40">
        <v>1014300</v>
      </c>
      <c r="L24" s="40">
        <v>91500</v>
      </c>
      <c r="M24" s="40">
        <v>272000</v>
      </c>
      <c r="N24" s="40">
        <v>902400</v>
      </c>
      <c r="O24" s="40">
        <v>305300</v>
      </c>
      <c r="P24" s="40">
        <v>4222800</v>
      </c>
      <c r="Q24" s="40">
        <v>254600</v>
      </c>
      <c r="R24" s="40">
        <v>257400</v>
      </c>
      <c r="S24" s="15">
        <f t="shared" si="3"/>
        <v>8549800</v>
      </c>
      <c r="T24" s="54">
        <f t="shared" si="1"/>
        <v>28450200</v>
      </c>
      <c r="U24" s="8">
        <f t="shared" si="2"/>
        <v>23.107567567567568</v>
      </c>
    </row>
    <row r="25" spans="1:21" s="7" customFormat="1" ht="45.75" customHeight="1" x14ac:dyDescent="0.35">
      <c r="A25" s="25" t="s">
        <v>69</v>
      </c>
      <c r="B25" s="231" t="s">
        <v>67</v>
      </c>
      <c r="C25" s="231"/>
      <c r="D25" s="231"/>
      <c r="E25" s="231"/>
      <c r="F25" s="15">
        <f t="shared" ref="F25:R25" si="10">F26+F48</f>
        <v>24490093655</v>
      </c>
      <c r="G25" s="15">
        <f t="shared" si="10"/>
        <v>794933998</v>
      </c>
      <c r="H25" s="15">
        <f t="shared" si="10"/>
        <v>1645829985</v>
      </c>
      <c r="I25" s="15">
        <f t="shared" si="10"/>
        <v>2508948514</v>
      </c>
      <c r="J25" s="15">
        <f t="shared" si="10"/>
        <v>1467396174</v>
      </c>
      <c r="K25" s="15">
        <f t="shared" si="10"/>
        <v>1862035931</v>
      </c>
      <c r="L25" s="15">
        <f t="shared" si="10"/>
        <v>1480709138</v>
      </c>
      <c r="M25" s="15">
        <f t="shared" si="10"/>
        <v>1779173615</v>
      </c>
      <c r="N25" s="15">
        <f t="shared" si="10"/>
        <v>1624393643</v>
      </c>
      <c r="O25" s="15">
        <f t="shared" si="10"/>
        <v>1237339174</v>
      </c>
      <c r="P25" s="15">
        <f t="shared" si="10"/>
        <v>1804949779</v>
      </c>
      <c r="Q25" s="15">
        <f t="shared" si="10"/>
        <v>2201395143</v>
      </c>
      <c r="R25" s="15">
        <f t="shared" si="10"/>
        <v>4744825097</v>
      </c>
      <c r="S25" s="15">
        <f t="shared" si="3"/>
        <v>23151930191</v>
      </c>
      <c r="T25" s="54">
        <f t="shared" si="1"/>
        <v>1338163464</v>
      </c>
      <c r="U25" s="8">
        <f t="shared" si="2"/>
        <v>94.535898952241055</v>
      </c>
    </row>
    <row r="26" spans="1:21" s="7" customFormat="1" ht="45.75" customHeight="1" x14ac:dyDescent="0.35">
      <c r="A26" s="152" t="s">
        <v>3</v>
      </c>
      <c r="B26" s="231" t="s">
        <v>18</v>
      </c>
      <c r="C26" s="231"/>
      <c r="D26" s="231"/>
      <c r="E26" s="231"/>
      <c r="F26" s="54">
        <f>F27</f>
        <v>5089244255</v>
      </c>
      <c r="G26" s="54">
        <f t="shared" ref="G26:R26" si="11">SUM(G27)</f>
        <v>319373626</v>
      </c>
      <c r="H26" s="54">
        <f t="shared" si="11"/>
        <v>347004088</v>
      </c>
      <c r="I26" s="54">
        <f t="shared" si="11"/>
        <v>340279232</v>
      </c>
      <c r="J26" s="54">
        <f t="shared" si="11"/>
        <v>335543133</v>
      </c>
      <c r="K26" s="54">
        <f t="shared" si="11"/>
        <v>713367010</v>
      </c>
      <c r="L26" s="54">
        <f t="shared" si="11"/>
        <v>355700939</v>
      </c>
      <c r="M26" s="54">
        <f t="shared" si="11"/>
        <v>698681398</v>
      </c>
      <c r="N26" s="54">
        <f t="shared" si="11"/>
        <v>340044938</v>
      </c>
      <c r="O26" s="54">
        <f t="shared" si="11"/>
        <v>334468294</v>
      </c>
      <c r="P26" s="54">
        <f t="shared" si="11"/>
        <v>328673631</v>
      </c>
      <c r="Q26" s="54">
        <f t="shared" si="11"/>
        <v>334262471</v>
      </c>
      <c r="R26" s="54">
        <f t="shared" si="11"/>
        <v>354786350</v>
      </c>
      <c r="S26" s="15">
        <f t="shared" si="3"/>
        <v>4802185110</v>
      </c>
      <c r="T26" s="54">
        <f>SUM(F26-S26)</f>
        <v>287059145</v>
      </c>
      <c r="U26" s="8">
        <f t="shared" si="2"/>
        <v>94.359493657275834</v>
      </c>
    </row>
    <row r="27" spans="1:21" s="7" customFormat="1" ht="45.75" customHeight="1" x14ac:dyDescent="0.35">
      <c r="A27" s="26"/>
      <c r="B27" s="150"/>
      <c r="C27" s="231" t="s">
        <v>19</v>
      </c>
      <c r="D27" s="231"/>
      <c r="E27" s="231"/>
      <c r="F27" s="54">
        <f t="shared" ref="F27:R27" si="12">F28+F38+F41</f>
        <v>5089244255</v>
      </c>
      <c r="G27" s="54">
        <f t="shared" si="12"/>
        <v>319373626</v>
      </c>
      <c r="H27" s="54">
        <f t="shared" si="12"/>
        <v>347004088</v>
      </c>
      <c r="I27" s="54">
        <f t="shared" si="12"/>
        <v>340279232</v>
      </c>
      <c r="J27" s="54">
        <f t="shared" si="12"/>
        <v>335543133</v>
      </c>
      <c r="K27" s="54">
        <f t="shared" si="12"/>
        <v>713367010</v>
      </c>
      <c r="L27" s="54">
        <f t="shared" si="12"/>
        <v>355700939</v>
      </c>
      <c r="M27" s="54">
        <f t="shared" si="12"/>
        <v>698681398</v>
      </c>
      <c r="N27" s="54">
        <f t="shared" si="12"/>
        <v>340044938</v>
      </c>
      <c r="O27" s="54">
        <f t="shared" si="12"/>
        <v>334468294</v>
      </c>
      <c r="P27" s="54">
        <f t="shared" si="12"/>
        <v>328673631</v>
      </c>
      <c r="Q27" s="54">
        <f t="shared" si="12"/>
        <v>334262471</v>
      </c>
      <c r="R27" s="54">
        <f t="shared" si="12"/>
        <v>354786350</v>
      </c>
      <c r="S27" s="15">
        <f t="shared" si="3"/>
        <v>4802185110</v>
      </c>
      <c r="T27" s="54">
        <f t="shared" ref="T27:T58" si="13">F27-S27</f>
        <v>287059145</v>
      </c>
      <c r="U27" s="8">
        <f t="shared" si="2"/>
        <v>94.359493657275834</v>
      </c>
    </row>
    <row r="28" spans="1:21" s="7" customFormat="1" ht="45.75" customHeight="1" x14ac:dyDescent="0.35">
      <c r="A28" s="26"/>
      <c r="B28" s="150"/>
      <c r="C28" s="150"/>
      <c r="D28" s="231" t="s">
        <v>63</v>
      </c>
      <c r="E28" s="231"/>
      <c r="F28" s="41">
        <f t="shared" ref="F28:K28" si="14">SUM(F29:F37)</f>
        <v>2532113646</v>
      </c>
      <c r="G28" s="41">
        <f t="shared" si="14"/>
        <v>171423626</v>
      </c>
      <c r="H28" s="41">
        <f t="shared" si="14"/>
        <v>165814088</v>
      </c>
      <c r="I28" s="41">
        <f t="shared" si="14"/>
        <v>166033232</v>
      </c>
      <c r="J28" s="41">
        <f t="shared" si="14"/>
        <v>160637133</v>
      </c>
      <c r="K28" s="41">
        <f t="shared" si="14"/>
        <v>374555010</v>
      </c>
      <c r="L28" s="41">
        <f t="shared" ref="L28:S28" si="15">SUM(L29:L37)</f>
        <v>177074939</v>
      </c>
      <c r="M28" s="41">
        <f t="shared" si="15"/>
        <v>341429398</v>
      </c>
      <c r="N28" s="41">
        <f t="shared" si="15"/>
        <v>172978938</v>
      </c>
      <c r="O28" s="41">
        <f t="shared" si="15"/>
        <v>166742294</v>
      </c>
      <c r="P28" s="41">
        <f t="shared" si="15"/>
        <v>167107631</v>
      </c>
      <c r="Q28" s="41">
        <f t="shared" si="15"/>
        <v>171940471</v>
      </c>
      <c r="R28" s="41">
        <f t="shared" si="15"/>
        <v>176438350</v>
      </c>
      <c r="S28" s="41">
        <f t="shared" si="15"/>
        <v>2412175110</v>
      </c>
      <c r="T28" s="54">
        <f t="shared" si="13"/>
        <v>119938536</v>
      </c>
      <c r="U28" s="8">
        <f t="shared" si="2"/>
        <v>95.263303596603265</v>
      </c>
    </row>
    <row r="29" spans="1:21" s="7" customFormat="1" ht="45.75" customHeight="1" x14ac:dyDescent="0.35">
      <c r="A29" s="26"/>
      <c r="B29" s="150"/>
      <c r="C29" s="150"/>
      <c r="D29" s="150"/>
      <c r="E29" s="42" t="s">
        <v>20</v>
      </c>
      <c r="F29" s="43">
        <v>1907991806</v>
      </c>
      <c r="G29" s="39">
        <v>126526000</v>
      </c>
      <c r="H29" s="39">
        <v>122239900</v>
      </c>
      <c r="I29" s="39">
        <v>122552900</v>
      </c>
      <c r="J29" s="39">
        <v>118448800</v>
      </c>
      <c r="K29" s="39">
        <v>293636240</v>
      </c>
      <c r="L29" s="39">
        <v>132380260</v>
      </c>
      <c r="M29" s="39">
        <v>264760520</v>
      </c>
      <c r="N29" s="39">
        <v>129375760</v>
      </c>
      <c r="O29" s="39">
        <v>124676460</v>
      </c>
      <c r="P29" s="39">
        <v>124986960</v>
      </c>
      <c r="Q29" s="39">
        <v>128649060</v>
      </c>
      <c r="R29" s="39">
        <v>130569560</v>
      </c>
      <c r="S29" s="15">
        <f t="shared" si="3"/>
        <v>1818802420</v>
      </c>
      <c r="T29" s="54">
        <f t="shared" si="13"/>
        <v>89189386</v>
      </c>
      <c r="U29" s="8">
        <f t="shared" si="2"/>
        <v>95.325483803466611</v>
      </c>
    </row>
    <row r="30" spans="1:21" s="7" customFormat="1" ht="45.75" customHeight="1" x14ac:dyDescent="0.35">
      <c r="A30" s="26"/>
      <c r="B30" s="150"/>
      <c r="C30" s="150"/>
      <c r="D30" s="150"/>
      <c r="E30" s="42" t="s">
        <v>21</v>
      </c>
      <c r="F30" s="43">
        <v>187399247</v>
      </c>
      <c r="G30" s="39">
        <v>13379172</v>
      </c>
      <c r="H30" s="39">
        <v>12943358</v>
      </c>
      <c r="I30" s="39">
        <v>12891100</v>
      </c>
      <c r="J30" s="39">
        <v>12462710</v>
      </c>
      <c r="K30" s="39">
        <v>29134816</v>
      </c>
      <c r="L30" s="39">
        <v>12419506</v>
      </c>
      <c r="M30" s="39">
        <v>24839012</v>
      </c>
      <c r="N30" s="39">
        <v>11968336</v>
      </c>
      <c r="O30" s="39">
        <v>11404420</v>
      </c>
      <c r="P30" s="39">
        <v>11438840</v>
      </c>
      <c r="Q30" s="39">
        <v>11932060</v>
      </c>
      <c r="R30" s="39">
        <v>13234119</v>
      </c>
      <c r="S30" s="15">
        <f t="shared" si="3"/>
        <v>178047449</v>
      </c>
      <c r="T30" s="54">
        <f t="shared" si="13"/>
        <v>9351798</v>
      </c>
      <c r="U30" s="8">
        <f t="shared" si="2"/>
        <v>95.009692861786149</v>
      </c>
    </row>
    <row r="31" spans="1:21" s="7" customFormat="1" ht="45.75" customHeight="1" x14ac:dyDescent="0.35">
      <c r="A31" s="26"/>
      <c r="B31" s="150"/>
      <c r="C31" s="150"/>
      <c r="D31" s="150"/>
      <c r="E31" s="42" t="s">
        <v>22</v>
      </c>
      <c r="F31" s="43">
        <v>246358750</v>
      </c>
      <c r="G31" s="39">
        <v>16875000</v>
      </c>
      <c r="H31" s="39">
        <v>16335000</v>
      </c>
      <c r="I31" s="39">
        <v>16335000</v>
      </c>
      <c r="J31" s="39">
        <v>15795000</v>
      </c>
      <c r="K31" s="39">
        <v>31050000</v>
      </c>
      <c r="L31" s="39">
        <v>17365000</v>
      </c>
      <c r="M31" s="39">
        <v>34730000</v>
      </c>
      <c r="N31" s="39">
        <v>17365000</v>
      </c>
      <c r="O31" s="39">
        <v>16825000</v>
      </c>
      <c r="P31" s="39">
        <v>16825000</v>
      </c>
      <c r="Q31" s="39">
        <v>16825000</v>
      </c>
      <c r="R31" s="39">
        <v>17365000</v>
      </c>
      <c r="S31" s="15">
        <f t="shared" si="3"/>
        <v>233690000</v>
      </c>
      <c r="T31" s="54">
        <f t="shared" si="13"/>
        <v>12668750</v>
      </c>
      <c r="U31" s="8">
        <f t="shared" si="2"/>
        <v>94.857600957952585</v>
      </c>
    </row>
    <row r="32" spans="1:21" s="4" customFormat="1" ht="31.5" customHeight="1" x14ac:dyDescent="0.35">
      <c r="A32" s="26"/>
      <c r="B32" s="150"/>
      <c r="C32" s="150"/>
      <c r="D32" s="150"/>
      <c r="E32" s="42" t="s">
        <v>23</v>
      </c>
      <c r="F32" s="43">
        <v>29971000</v>
      </c>
      <c r="G32" s="39">
        <v>1840000</v>
      </c>
      <c r="H32" s="39">
        <v>1840000</v>
      </c>
      <c r="I32" s="39">
        <v>1840000</v>
      </c>
      <c r="J32" s="39">
        <v>1840000</v>
      </c>
      <c r="K32" s="39">
        <v>5840000</v>
      </c>
      <c r="L32" s="39">
        <v>2005000</v>
      </c>
      <c r="M32" s="39">
        <v>4010000</v>
      </c>
      <c r="N32" s="39">
        <v>1820000</v>
      </c>
      <c r="O32" s="39">
        <v>1820000</v>
      </c>
      <c r="P32" s="39">
        <v>1820000</v>
      </c>
      <c r="Q32" s="39">
        <v>2000000</v>
      </c>
      <c r="R32" s="39">
        <v>2000000</v>
      </c>
      <c r="S32" s="15">
        <f t="shared" si="3"/>
        <v>28675000</v>
      </c>
      <c r="T32" s="54">
        <f t="shared" si="13"/>
        <v>1296000</v>
      </c>
      <c r="U32" s="8">
        <f t="shared" si="2"/>
        <v>95.675819959293989</v>
      </c>
    </row>
    <row r="33" spans="1:21" s="4" customFormat="1" ht="27.25" customHeight="1" x14ac:dyDescent="0.35">
      <c r="A33" s="26"/>
      <c r="B33" s="150"/>
      <c r="C33" s="150"/>
      <c r="D33" s="150"/>
      <c r="E33" s="42" t="s">
        <v>24</v>
      </c>
      <c r="F33" s="43">
        <v>87517760</v>
      </c>
      <c r="G33" s="39">
        <v>7169580</v>
      </c>
      <c r="H33" s="39">
        <v>7024740</v>
      </c>
      <c r="I33" s="39">
        <v>6952320</v>
      </c>
      <c r="J33" s="39">
        <v>6807480</v>
      </c>
      <c r="K33" s="39">
        <v>7097160</v>
      </c>
      <c r="L33" s="39">
        <v>7024740</v>
      </c>
      <c r="M33" s="39">
        <v>7024740</v>
      </c>
      <c r="N33" s="39">
        <v>6735060</v>
      </c>
      <c r="O33" s="39">
        <v>6517800</v>
      </c>
      <c r="P33" s="39">
        <v>6517800</v>
      </c>
      <c r="Q33" s="39">
        <v>6807480</v>
      </c>
      <c r="R33" s="39">
        <v>7459260</v>
      </c>
      <c r="S33" s="15">
        <f t="shared" si="3"/>
        <v>83138160</v>
      </c>
      <c r="T33" s="54">
        <f t="shared" si="13"/>
        <v>4379600</v>
      </c>
      <c r="U33" s="8">
        <f t="shared" si="2"/>
        <v>94.995758575173767</v>
      </c>
    </row>
    <row r="34" spans="1:21" s="4" customFormat="1" ht="27.25" customHeight="1" x14ac:dyDescent="0.35">
      <c r="A34" s="26"/>
      <c r="B34" s="150"/>
      <c r="C34" s="150"/>
      <c r="D34" s="150"/>
      <c r="E34" s="42" t="s">
        <v>25</v>
      </c>
      <c r="F34" s="43">
        <v>4008830</v>
      </c>
      <c r="G34" s="39">
        <v>220304</v>
      </c>
      <c r="H34" s="39">
        <v>200262</v>
      </c>
      <c r="I34" s="39">
        <v>220304</v>
      </c>
      <c r="J34" s="39">
        <v>216929</v>
      </c>
      <c r="K34" s="39">
        <v>906593</v>
      </c>
      <c r="L34" s="39">
        <v>263829</v>
      </c>
      <c r="M34" s="39">
        <v>446988</v>
      </c>
      <c r="N34" s="39">
        <v>274842</v>
      </c>
      <c r="O34" s="39">
        <v>261729</v>
      </c>
      <c r="P34" s="39">
        <v>268846</v>
      </c>
      <c r="Q34" s="39">
        <v>316900</v>
      </c>
      <c r="R34" s="39">
        <v>240913</v>
      </c>
      <c r="S34" s="15">
        <f t="shared" si="3"/>
        <v>3838439</v>
      </c>
      <c r="T34" s="54">
        <f t="shared" si="13"/>
        <v>170391</v>
      </c>
      <c r="U34" s="8">
        <f t="shared" si="2"/>
        <v>95.749607740911941</v>
      </c>
    </row>
    <row r="35" spans="1:21" s="4" customFormat="1" ht="27.25" customHeight="1" x14ac:dyDescent="0.35">
      <c r="A35" s="26"/>
      <c r="B35" s="150"/>
      <c r="C35" s="150"/>
      <c r="D35" s="150"/>
      <c r="E35" s="42" t="s">
        <v>26</v>
      </c>
      <c r="F35" s="43">
        <v>24872</v>
      </c>
      <c r="G35" s="39">
        <v>1765</v>
      </c>
      <c r="H35" s="39">
        <v>1827</v>
      </c>
      <c r="I35" s="39">
        <v>1779</v>
      </c>
      <c r="J35" s="39">
        <v>1760</v>
      </c>
      <c r="K35" s="39">
        <v>2904</v>
      </c>
      <c r="L35" s="39">
        <v>1768</v>
      </c>
      <c r="M35" s="39">
        <v>3302</v>
      </c>
      <c r="N35" s="39">
        <v>1812</v>
      </c>
      <c r="O35" s="39">
        <v>1766</v>
      </c>
      <c r="P35" s="39">
        <v>1738</v>
      </c>
      <c r="Q35" s="39">
        <v>1705</v>
      </c>
      <c r="R35" s="39">
        <v>1927</v>
      </c>
      <c r="S35" s="15">
        <f t="shared" si="3"/>
        <v>24053</v>
      </c>
      <c r="T35" s="54">
        <f t="shared" si="13"/>
        <v>819</v>
      </c>
      <c r="U35" s="8">
        <f t="shared" si="2"/>
        <v>96.70714055966549</v>
      </c>
    </row>
    <row r="36" spans="1:21" s="4" customFormat="1" ht="27.25" customHeight="1" x14ac:dyDescent="0.35">
      <c r="A36" s="26"/>
      <c r="B36" s="150"/>
      <c r="C36" s="150"/>
      <c r="D36" s="150"/>
      <c r="E36" s="42" t="s">
        <v>64</v>
      </c>
      <c r="F36" s="43">
        <v>53304787</v>
      </c>
      <c r="G36" s="39">
        <v>4197154</v>
      </c>
      <c r="H36" s="39">
        <v>4055497</v>
      </c>
      <c r="I36" s="39">
        <v>4063320</v>
      </c>
      <c r="J36" s="39">
        <v>3927345</v>
      </c>
      <c r="K36" s="39">
        <v>5333038</v>
      </c>
      <c r="L36" s="39">
        <v>4343993</v>
      </c>
      <c r="M36" s="39">
        <v>4343993</v>
      </c>
      <c r="N36" s="39">
        <v>4240321</v>
      </c>
      <c r="O36" s="39">
        <v>4082425</v>
      </c>
      <c r="P36" s="39">
        <v>4092773</v>
      </c>
      <c r="Q36" s="39">
        <v>4217432</v>
      </c>
      <c r="R36" s="39">
        <v>4314109</v>
      </c>
      <c r="S36" s="15">
        <f t="shared" si="3"/>
        <v>51211400</v>
      </c>
      <c r="T36" s="54">
        <f t="shared" si="13"/>
        <v>2093387</v>
      </c>
      <c r="U36" s="8">
        <f t="shared" si="2"/>
        <v>96.072797364334278</v>
      </c>
    </row>
    <row r="37" spans="1:21" s="4" customFormat="1" ht="41.25" customHeight="1" x14ac:dyDescent="0.35">
      <c r="A37" s="26"/>
      <c r="B37" s="150"/>
      <c r="C37" s="150"/>
      <c r="D37" s="150"/>
      <c r="E37" s="42" t="s">
        <v>43</v>
      </c>
      <c r="F37" s="43">
        <v>15536594</v>
      </c>
      <c r="G37" s="39">
        <v>1214651</v>
      </c>
      <c r="H37" s="39">
        <v>1173504</v>
      </c>
      <c r="I37" s="39">
        <v>1176509</v>
      </c>
      <c r="J37" s="39">
        <v>1137109</v>
      </c>
      <c r="K37" s="39">
        <v>1554259</v>
      </c>
      <c r="L37" s="39">
        <v>1270843</v>
      </c>
      <c r="M37" s="39">
        <v>1270843</v>
      </c>
      <c r="N37" s="39">
        <v>1197807</v>
      </c>
      <c r="O37" s="39">
        <v>1152694</v>
      </c>
      <c r="P37" s="39">
        <v>1155674</v>
      </c>
      <c r="Q37" s="39">
        <v>1190834</v>
      </c>
      <c r="R37" s="39">
        <v>1253462</v>
      </c>
      <c r="S37" s="15">
        <f t="shared" si="3"/>
        <v>14748189</v>
      </c>
      <c r="T37" s="54">
        <f t="shared" si="13"/>
        <v>788405</v>
      </c>
      <c r="U37" s="8">
        <f t="shared" si="2"/>
        <v>94.92549654061888</v>
      </c>
    </row>
    <row r="38" spans="1:21" s="4" customFormat="1" ht="33" customHeight="1" x14ac:dyDescent="0.35">
      <c r="A38" s="26"/>
      <c r="B38" s="150"/>
      <c r="C38" s="150"/>
      <c r="D38" s="231" t="s">
        <v>27</v>
      </c>
      <c r="E38" s="231"/>
      <c r="F38" s="41">
        <f t="shared" ref="F38:S38" si="16">SUM(F39:F40)</f>
        <v>2446112000</v>
      </c>
      <c r="G38" s="41">
        <f t="shared" si="16"/>
        <v>147950000</v>
      </c>
      <c r="H38" s="41">
        <f t="shared" si="16"/>
        <v>181190000</v>
      </c>
      <c r="I38" s="41">
        <f t="shared" si="16"/>
        <v>174246000</v>
      </c>
      <c r="J38" s="41">
        <f t="shared" si="16"/>
        <v>174906000</v>
      </c>
      <c r="K38" s="41">
        <f t="shared" si="16"/>
        <v>338812000</v>
      </c>
      <c r="L38" s="41">
        <f t="shared" si="16"/>
        <v>178626000</v>
      </c>
      <c r="M38" s="41">
        <f t="shared" si="16"/>
        <v>357252000</v>
      </c>
      <c r="N38" s="41">
        <f t="shared" si="16"/>
        <v>167066000</v>
      </c>
      <c r="O38" s="41">
        <f t="shared" si="16"/>
        <v>167726000</v>
      </c>
      <c r="P38" s="41">
        <f t="shared" si="16"/>
        <v>161566000</v>
      </c>
      <c r="Q38" s="41">
        <f t="shared" si="16"/>
        <v>162322000</v>
      </c>
      <c r="R38" s="41">
        <f t="shared" si="16"/>
        <v>178348000</v>
      </c>
      <c r="S38" s="41">
        <f t="shared" si="16"/>
        <v>2390010000</v>
      </c>
      <c r="T38" s="54">
        <f t="shared" si="13"/>
        <v>56102000</v>
      </c>
      <c r="U38" s="8">
        <f t="shared" si="2"/>
        <v>97.706482777567018</v>
      </c>
    </row>
    <row r="39" spans="1:21" s="4" customFormat="1" ht="34.5" customHeight="1" x14ac:dyDescent="0.35">
      <c r="A39" s="26"/>
      <c r="B39" s="150"/>
      <c r="C39" s="150"/>
      <c r="D39" s="150"/>
      <c r="E39" s="42" t="s">
        <v>28</v>
      </c>
      <c r="F39" s="43">
        <v>2326012000</v>
      </c>
      <c r="G39" s="39">
        <v>140950000</v>
      </c>
      <c r="H39" s="39">
        <v>172490000</v>
      </c>
      <c r="I39" s="39">
        <v>165546000</v>
      </c>
      <c r="J39" s="39">
        <v>166206000</v>
      </c>
      <c r="K39" s="39">
        <v>321412000</v>
      </c>
      <c r="L39" s="39">
        <v>169926000</v>
      </c>
      <c r="M39" s="39">
        <v>339852000</v>
      </c>
      <c r="N39" s="39">
        <v>158366000</v>
      </c>
      <c r="O39" s="39">
        <v>159026000</v>
      </c>
      <c r="P39" s="39">
        <v>152866000</v>
      </c>
      <c r="Q39" s="39">
        <v>153622000</v>
      </c>
      <c r="R39" s="39">
        <v>169648000</v>
      </c>
      <c r="S39" s="15">
        <f t="shared" si="3"/>
        <v>2269910000</v>
      </c>
      <c r="T39" s="54">
        <f t="shared" si="13"/>
        <v>56102000</v>
      </c>
      <c r="U39" s="8">
        <f t="shared" si="2"/>
        <v>97.588060594700295</v>
      </c>
    </row>
    <row r="40" spans="1:21" s="4" customFormat="1" ht="27.25" customHeight="1" x14ac:dyDescent="0.35">
      <c r="A40" s="26"/>
      <c r="B40" s="150"/>
      <c r="C40" s="150"/>
      <c r="D40" s="150"/>
      <c r="E40" s="42" t="s">
        <v>42</v>
      </c>
      <c r="F40" s="43">
        <v>120100000</v>
      </c>
      <c r="G40" s="39">
        <v>7000000</v>
      </c>
      <c r="H40" s="39">
        <v>8700000</v>
      </c>
      <c r="I40" s="39">
        <v>8700000</v>
      </c>
      <c r="J40" s="39">
        <v>8700000</v>
      </c>
      <c r="K40" s="39">
        <v>17400000</v>
      </c>
      <c r="L40" s="39">
        <v>8700000</v>
      </c>
      <c r="M40" s="39">
        <v>17400000</v>
      </c>
      <c r="N40" s="39">
        <v>8700000</v>
      </c>
      <c r="O40" s="39">
        <v>8700000</v>
      </c>
      <c r="P40" s="39">
        <v>8700000</v>
      </c>
      <c r="Q40" s="39">
        <v>8700000</v>
      </c>
      <c r="R40" s="39">
        <v>8700000</v>
      </c>
      <c r="S40" s="15">
        <f t="shared" si="3"/>
        <v>120100000</v>
      </c>
      <c r="T40" s="54">
        <f t="shared" si="13"/>
        <v>0</v>
      </c>
      <c r="U40" s="8">
        <f t="shared" si="2"/>
        <v>100</v>
      </c>
    </row>
    <row r="41" spans="1:21" s="4" customFormat="1" ht="27.25" customHeight="1" x14ac:dyDescent="0.35">
      <c r="A41" s="26"/>
      <c r="B41" s="150"/>
      <c r="C41" s="150"/>
      <c r="D41" s="231" t="s">
        <v>65</v>
      </c>
      <c r="E41" s="231"/>
      <c r="F41" s="41">
        <f>SUM(F42:F47)</f>
        <v>111018609</v>
      </c>
      <c r="G41" s="41">
        <f>SUM(G42)</f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15">
        <f t="shared" si="3"/>
        <v>0</v>
      </c>
      <c r="T41" s="54">
        <f t="shared" si="13"/>
        <v>111018609</v>
      </c>
      <c r="U41" s="8">
        <f t="shared" si="2"/>
        <v>0</v>
      </c>
    </row>
    <row r="42" spans="1:21" s="4" customFormat="1" ht="47.25" customHeight="1" x14ac:dyDescent="0.35">
      <c r="A42" s="26"/>
      <c r="B42" s="150"/>
      <c r="C42" s="150"/>
      <c r="D42" s="150"/>
      <c r="E42" s="44" t="s">
        <v>112</v>
      </c>
      <c r="F42" s="43">
        <v>66563500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f t="shared" si="3"/>
        <v>0</v>
      </c>
      <c r="T42" s="54">
        <f t="shared" si="13"/>
        <v>66563500</v>
      </c>
      <c r="U42" s="8">
        <f t="shared" si="2"/>
        <v>0</v>
      </c>
    </row>
    <row r="43" spans="1:21" s="4" customFormat="1" ht="47.25" customHeight="1" x14ac:dyDescent="0.35">
      <c r="A43" s="26"/>
      <c r="B43" s="150"/>
      <c r="C43" s="150"/>
      <c r="D43" s="150"/>
      <c r="E43" s="44" t="s">
        <v>113</v>
      </c>
      <c r="F43" s="43">
        <v>27225000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f t="shared" si="3"/>
        <v>0</v>
      </c>
      <c r="T43" s="54">
        <f t="shared" si="13"/>
        <v>27225000</v>
      </c>
      <c r="U43" s="8">
        <f t="shared" si="2"/>
        <v>0</v>
      </c>
    </row>
    <row r="44" spans="1:21" s="4" customFormat="1" ht="47.25" customHeight="1" x14ac:dyDescent="0.35">
      <c r="A44" s="26"/>
      <c r="B44" s="150"/>
      <c r="C44" s="150"/>
      <c r="D44" s="150"/>
      <c r="E44" s="44" t="s">
        <v>114</v>
      </c>
      <c r="F44" s="43">
        <v>600000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f t="shared" si="3"/>
        <v>0</v>
      </c>
      <c r="T44" s="54">
        <f t="shared" si="13"/>
        <v>600000</v>
      </c>
      <c r="U44" s="8">
        <f t="shared" si="2"/>
        <v>0</v>
      </c>
    </row>
    <row r="45" spans="1:21" s="4" customFormat="1" ht="47.25" customHeight="1" x14ac:dyDescent="0.35">
      <c r="A45" s="26"/>
      <c r="B45" s="150"/>
      <c r="C45" s="150"/>
      <c r="D45" s="150"/>
      <c r="E45" s="44" t="s">
        <v>115</v>
      </c>
      <c r="F45" s="43">
        <v>9780109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f t="shared" si="3"/>
        <v>0</v>
      </c>
      <c r="T45" s="54">
        <f t="shared" si="13"/>
        <v>9780109</v>
      </c>
      <c r="U45" s="8">
        <f t="shared" si="2"/>
        <v>0</v>
      </c>
    </row>
    <row r="46" spans="1:21" s="4" customFormat="1" ht="47.25" customHeight="1" x14ac:dyDescent="0.35">
      <c r="A46" s="26"/>
      <c r="B46" s="150"/>
      <c r="C46" s="150"/>
      <c r="D46" s="150"/>
      <c r="E46" s="44" t="s">
        <v>116</v>
      </c>
      <c r="F46" s="43">
        <v>5000000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f t="shared" si="3"/>
        <v>0</v>
      </c>
      <c r="T46" s="54">
        <f t="shared" si="13"/>
        <v>5000000</v>
      </c>
      <c r="U46" s="8">
        <f t="shared" si="2"/>
        <v>0</v>
      </c>
    </row>
    <row r="47" spans="1:21" s="4" customFormat="1" ht="47.25" customHeight="1" x14ac:dyDescent="0.35">
      <c r="A47" s="26"/>
      <c r="B47" s="150"/>
      <c r="C47" s="150"/>
      <c r="D47" s="150"/>
      <c r="E47" s="44" t="s">
        <v>117</v>
      </c>
      <c r="F47" s="43">
        <v>1850000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f t="shared" si="3"/>
        <v>0</v>
      </c>
      <c r="T47" s="54">
        <f t="shared" si="13"/>
        <v>1850000</v>
      </c>
      <c r="U47" s="8">
        <f t="shared" si="2"/>
        <v>0</v>
      </c>
    </row>
    <row r="48" spans="1:21" s="4" customFormat="1" ht="32.25" customHeight="1" x14ac:dyDescent="0.35">
      <c r="A48" s="56" t="s">
        <v>70</v>
      </c>
      <c r="B48" s="231" t="s">
        <v>29</v>
      </c>
      <c r="C48" s="231"/>
      <c r="D48" s="231"/>
      <c r="E48" s="231"/>
      <c r="F48" s="68">
        <f>F49+F58+F61+F65+F75+F79+F83</f>
        <v>19400849400</v>
      </c>
      <c r="G48" s="68">
        <f t="shared" ref="G48:N48" si="17">G49+G58+G61+G65+G75+G79+G83</f>
        <v>475560372</v>
      </c>
      <c r="H48" s="68">
        <f t="shared" si="17"/>
        <v>1298825897</v>
      </c>
      <c r="I48" s="68">
        <f t="shared" si="17"/>
        <v>2168669282</v>
      </c>
      <c r="J48" s="68">
        <f t="shared" si="17"/>
        <v>1131853041</v>
      </c>
      <c r="K48" s="68">
        <f t="shared" si="17"/>
        <v>1148668921</v>
      </c>
      <c r="L48" s="68">
        <f t="shared" si="17"/>
        <v>1125008199</v>
      </c>
      <c r="M48" s="68">
        <f t="shared" si="17"/>
        <v>1080492217</v>
      </c>
      <c r="N48" s="68">
        <f t="shared" si="17"/>
        <v>1284348705</v>
      </c>
      <c r="O48" s="68">
        <f>O49+O58+O61+O65+O75+O79+O83</f>
        <v>902870880</v>
      </c>
      <c r="P48" s="68">
        <f>P49+P58+P61+P65+P75+P79+P83</f>
        <v>1476276148</v>
      </c>
      <c r="Q48" s="68">
        <f>Q49+Q58+Q61+Q65+Q75+Q79+Q83</f>
        <v>1867132672</v>
      </c>
      <c r="R48" s="68">
        <f>R49+R58+R61+R65+R75+R79+R83</f>
        <v>4390038747</v>
      </c>
      <c r="S48" s="68">
        <f>S49+S58+S61+S65+S75+S79+S83</f>
        <v>18349745081</v>
      </c>
      <c r="T48" s="54">
        <f t="shared" si="13"/>
        <v>1051104319</v>
      </c>
      <c r="U48" s="8">
        <f t="shared" si="2"/>
        <v>94.582173711425227</v>
      </c>
    </row>
    <row r="49" spans="1:24" s="4" customFormat="1" ht="35.25" customHeight="1" x14ac:dyDescent="0.35">
      <c r="A49" s="57" t="s">
        <v>3</v>
      </c>
      <c r="B49" s="223" t="s">
        <v>72</v>
      </c>
      <c r="C49" s="223"/>
      <c r="D49" s="223"/>
      <c r="E49" s="223"/>
      <c r="F49" s="45">
        <f>SUM(F50:F57)</f>
        <v>2961790000</v>
      </c>
      <c r="G49" s="45">
        <f t="shared" ref="G49:N49" si="18">SUM(G50:G57)</f>
        <v>38267888</v>
      </c>
      <c r="H49" s="45">
        <f t="shared" si="18"/>
        <v>190321257</v>
      </c>
      <c r="I49" s="45">
        <f t="shared" si="18"/>
        <v>132294496</v>
      </c>
      <c r="J49" s="45">
        <f t="shared" si="18"/>
        <v>184486057</v>
      </c>
      <c r="K49" s="45">
        <f t="shared" si="18"/>
        <v>268077261</v>
      </c>
      <c r="L49" s="45">
        <f t="shared" si="18"/>
        <v>57822069</v>
      </c>
      <c r="M49" s="45">
        <f t="shared" si="18"/>
        <v>110944084</v>
      </c>
      <c r="N49" s="45">
        <f t="shared" si="18"/>
        <v>197165924</v>
      </c>
      <c r="O49" s="45">
        <f>SUM(O50:O57)</f>
        <v>61734434</v>
      </c>
      <c r="P49" s="45">
        <f>SUM(P50:P57)</f>
        <v>417258003</v>
      </c>
      <c r="Q49" s="45">
        <f>SUM(Q50:Q57)</f>
        <v>705895930</v>
      </c>
      <c r="R49" s="45">
        <f>SUM(R50:R57)</f>
        <v>489583034</v>
      </c>
      <c r="S49" s="45">
        <f>SUM(S50:S57)</f>
        <v>2853850437</v>
      </c>
      <c r="T49" s="54">
        <f t="shared" si="13"/>
        <v>107939563</v>
      </c>
      <c r="U49" s="8">
        <f t="shared" si="2"/>
        <v>96.35559702072058</v>
      </c>
    </row>
    <row r="50" spans="1:24" s="4" customFormat="1" ht="27" customHeight="1" x14ac:dyDescent="0.35">
      <c r="A50" s="27"/>
      <c r="B50" s="46"/>
      <c r="C50" s="48" t="s">
        <v>30</v>
      </c>
      <c r="D50" s="226" t="s">
        <v>74</v>
      </c>
      <c r="E50" s="226"/>
      <c r="F50" s="58">
        <v>703500000</v>
      </c>
      <c r="G50" s="51">
        <v>6366888</v>
      </c>
      <c r="H50" s="51">
        <f>107982757+19457000</f>
        <v>127439757</v>
      </c>
      <c r="I50" s="51">
        <v>37131261</v>
      </c>
      <c r="J50" s="51">
        <f>27159669+22753094</f>
        <v>49912763</v>
      </c>
      <c r="K50" s="51">
        <f>25763161+11191100</f>
        <v>36954261</v>
      </c>
      <c r="L50" s="51">
        <f>26317793+3477276</f>
        <v>29795069</v>
      </c>
      <c r="M50" s="51">
        <f>25558084+25936000</f>
        <v>51494084</v>
      </c>
      <c r="N50" s="51">
        <f>36311924+3950000</f>
        <v>40261924</v>
      </c>
      <c r="O50" s="51">
        <f>27806740+8817694</f>
        <v>36624434</v>
      </c>
      <c r="P50" s="51">
        <f>38083043+25543660</f>
        <v>63626703</v>
      </c>
      <c r="Q50" s="51">
        <f>64739930+27048200</f>
        <v>91788130</v>
      </c>
      <c r="R50" s="51">
        <f>48743314+25460820</f>
        <v>74204134</v>
      </c>
      <c r="S50" s="15">
        <f t="shared" si="3"/>
        <v>645599408</v>
      </c>
      <c r="T50" s="54">
        <f t="shared" si="13"/>
        <v>57900592</v>
      </c>
      <c r="U50" s="8">
        <f t="shared" si="2"/>
        <v>91.769638663823741</v>
      </c>
    </row>
    <row r="51" spans="1:24" s="4" customFormat="1" ht="66.75" customHeight="1" x14ac:dyDescent="0.35">
      <c r="A51" s="27"/>
      <c r="B51" s="46"/>
      <c r="C51" s="48" t="s">
        <v>31</v>
      </c>
      <c r="D51" s="226" t="s">
        <v>73</v>
      </c>
      <c r="E51" s="226"/>
      <c r="F51" s="58">
        <v>858210000</v>
      </c>
      <c r="G51" s="51">
        <v>0</v>
      </c>
      <c r="H51" s="51">
        <v>0</v>
      </c>
      <c r="I51" s="51">
        <v>0</v>
      </c>
      <c r="J51" s="51">
        <v>15000000</v>
      </c>
      <c r="K51" s="51">
        <v>109425000</v>
      </c>
      <c r="L51" s="51">
        <v>250000</v>
      </c>
      <c r="M51" s="51">
        <v>0</v>
      </c>
      <c r="N51" s="51">
        <v>72340000</v>
      </c>
      <c r="O51" s="51">
        <v>0</v>
      </c>
      <c r="P51" s="51">
        <v>-2375000</v>
      </c>
      <c r="Q51" s="51">
        <v>578292800</v>
      </c>
      <c r="R51" s="51">
        <f>56385400+2500000</f>
        <v>58885400</v>
      </c>
      <c r="S51" s="15">
        <f t="shared" si="3"/>
        <v>831818200</v>
      </c>
      <c r="T51" s="54">
        <f t="shared" si="13"/>
        <v>26391800</v>
      </c>
      <c r="U51" s="8">
        <f t="shared" si="2"/>
        <v>96.924785308957013</v>
      </c>
    </row>
    <row r="52" spans="1:24" s="9" customFormat="1" ht="27.25" customHeight="1" x14ac:dyDescent="0.35">
      <c r="A52" s="19"/>
      <c r="B52" s="46"/>
      <c r="C52" s="48" t="s">
        <v>32</v>
      </c>
      <c r="D52" s="226" t="s">
        <v>75</v>
      </c>
      <c r="E52" s="226"/>
      <c r="F52" s="59">
        <v>530000000</v>
      </c>
      <c r="G52" s="51">
        <v>31901000</v>
      </c>
      <c r="H52" s="51">
        <f>40000000+8600000</f>
        <v>48600000</v>
      </c>
      <c r="I52" s="51">
        <v>20558000</v>
      </c>
      <c r="J52" s="51">
        <f>47844000+4615000</f>
        <v>52459000</v>
      </c>
      <c r="K52" s="51">
        <f>55200000+5645000</f>
        <v>60845000</v>
      </c>
      <c r="L52" s="51">
        <v>2685000</v>
      </c>
      <c r="M52" s="51">
        <f>31901000+6460000</f>
        <v>38361000</v>
      </c>
      <c r="N52" s="51">
        <f>59070000+6485000</f>
        <v>65555000</v>
      </c>
      <c r="O52" s="51">
        <v>0</v>
      </c>
      <c r="P52" s="51">
        <f>117482000+7250000</f>
        <v>124732000</v>
      </c>
      <c r="Q52" s="51">
        <v>5695000</v>
      </c>
      <c r="R52" s="51">
        <f>73000000+2336000</f>
        <v>75336000</v>
      </c>
      <c r="S52" s="15">
        <f t="shared" si="3"/>
        <v>526727000</v>
      </c>
      <c r="T52" s="54">
        <f t="shared" si="13"/>
        <v>3273000</v>
      </c>
      <c r="U52" s="8">
        <f t="shared" si="2"/>
        <v>99.382452830188683</v>
      </c>
    </row>
    <row r="53" spans="1:24" s="13" customFormat="1" ht="45.75" customHeight="1" x14ac:dyDescent="0.35">
      <c r="A53" s="19"/>
      <c r="B53" s="46"/>
      <c r="C53" s="48" t="s">
        <v>33</v>
      </c>
      <c r="D53" s="227" t="s">
        <v>76</v>
      </c>
      <c r="E53" s="228"/>
      <c r="F53" s="58">
        <v>318790000</v>
      </c>
      <c r="G53" s="10">
        <v>0</v>
      </c>
      <c r="H53" s="10">
        <v>0</v>
      </c>
      <c r="I53" s="10">
        <v>9790000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119000000</v>
      </c>
      <c r="Q53" s="10">
        <v>0</v>
      </c>
      <c r="R53" s="10">
        <f>173092000+1000000</f>
        <v>174092000</v>
      </c>
      <c r="S53" s="15">
        <f t="shared" si="3"/>
        <v>302882000</v>
      </c>
      <c r="T53" s="54">
        <f t="shared" si="13"/>
        <v>15908000</v>
      </c>
      <c r="U53" s="8">
        <v>40.4</v>
      </c>
    </row>
    <row r="54" spans="1:24" s="4" customFormat="1" ht="30" customHeight="1" x14ac:dyDescent="0.35">
      <c r="A54" s="19"/>
      <c r="B54" s="46"/>
      <c r="C54" s="48" t="s">
        <v>34</v>
      </c>
      <c r="D54" s="226" t="s">
        <v>77</v>
      </c>
      <c r="E54" s="226"/>
      <c r="F54" s="10">
        <v>97000000</v>
      </c>
      <c r="G54" s="10">
        <v>0</v>
      </c>
      <c r="H54" s="10">
        <v>800000</v>
      </c>
      <c r="I54" s="10">
        <v>6300000</v>
      </c>
      <c r="J54" s="10">
        <v>17550000</v>
      </c>
      <c r="K54" s="10">
        <v>9750000</v>
      </c>
      <c r="L54" s="10">
        <v>6950000</v>
      </c>
      <c r="M54" s="10">
        <v>1150000</v>
      </c>
      <c r="N54" s="10">
        <v>3400000</v>
      </c>
      <c r="O54" s="10">
        <v>21000000</v>
      </c>
      <c r="P54" s="10">
        <v>1500000</v>
      </c>
      <c r="Q54" s="10">
        <v>7500000</v>
      </c>
      <c r="R54" s="10">
        <f>20000000+750000</f>
        <v>20750000</v>
      </c>
      <c r="S54" s="15">
        <f t="shared" si="3"/>
        <v>96650000</v>
      </c>
      <c r="T54" s="54">
        <f t="shared" si="13"/>
        <v>350000</v>
      </c>
      <c r="U54" s="8">
        <f t="shared" ref="U54:U90" si="19">S54/F54*100</f>
        <v>99.639175257731964</v>
      </c>
    </row>
    <row r="55" spans="1:24" s="4" customFormat="1" ht="45.75" customHeight="1" x14ac:dyDescent="0.35">
      <c r="A55" s="19"/>
      <c r="B55" s="46"/>
      <c r="C55" s="48" t="s">
        <v>35</v>
      </c>
      <c r="D55" s="226" t="s">
        <v>50</v>
      </c>
      <c r="E55" s="226"/>
      <c r="F55" s="60">
        <v>38500000</v>
      </c>
      <c r="G55" s="10">
        <v>0</v>
      </c>
      <c r="H55" s="10">
        <f>1250000+2984500</f>
        <v>4234500</v>
      </c>
      <c r="I55" s="10">
        <v>4451335</v>
      </c>
      <c r="J55" s="10">
        <f>1250000+3808994</f>
        <v>5058994</v>
      </c>
      <c r="K55" s="10">
        <f>1250000+840000</f>
        <v>2090000</v>
      </c>
      <c r="L55" s="10">
        <v>1250000</v>
      </c>
      <c r="M55" s="10">
        <f>1250000+3790000</f>
        <v>5040000</v>
      </c>
      <c r="N55" s="10">
        <v>1250000</v>
      </c>
      <c r="O55" s="10">
        <v>1250000</v>
      </c>
      <c r="P55" s="10">
        <f>1250000+2300000</f>
        <v>3550000</v>
      </c>
      <c r="Q55" s="10">
        <f>1250000+2860000</f>
        <v>4110000</v>
      </c>
      <c r="R55" s="10">
        <f>2500000</f>
        <v>2500000</v>
      </c>
      <c r="S55" s="15">
        <f t="shared" si="3"/>
        <v>34784829</v>
      </c>
      <c r="T55" s="54">
        <f t="shared" si="13"/>
        <v>3715171</v>
      </c>
      <c r="U55" s="8">
        <f t="shared" si="19"/>
        <v>90.350205194805199</v>
      </c>
    </row>
    <row r="56" spans="1:24" s="4" customFormat="1" ht="42.75" customHeight="1" x14ac:dyDescent="0.35">
      <c r="A56" s="19"/>
      <c r="B56" s="46"/>
      <c r="C56" s="48" t="s">
        <v>36</v>
      </c>
      <c r="D56" s="226" t="s">
        <v>78</v>
      </c>
      <c r="E56" s="226"/>
      <c r="F56" s="60">
        <v>50000000</v>
      </c>
      <c r="G56" s="10">
        <v>0</v>
      </c>
      <c r="H56" s="10">
        <v>5268000</v>
      </c>
      <c r="I56" s="10">
        <v>6506000</v>
      </c>
      <c r="J56" s="10">
        <v>600000</v>
      </c>
      <c r="K56" s="10">
        <v>8577000</v>
      </c>
      <c r="L56" s="10">
        <v>3916000</v>
      </c>
      <c r="M56" s="10">
        <v>5474000</v>
      </c>
      <c r="N56" s="10">
        <v>7159000</v>
      </c>
      <c r="O56" s="10">
        <v>0</v>
      </c>
      <c r="P56" s="10">
        <v>6505000</v>
      </c>
      <c r="Q56" s="10">
        <v>1513000</v>
      </c>
      <c r="R56" s="10">
        <v>4121000</v>
      </c>
      <c r="S56" s="15">
        <f t="shared" si="3"/>
        <v>49639000</v>
      </c>
      <c r="T56" s="54">
        <f t="shared" si="13"/>
        <v>361000</v>
      </c>
      <c r="U56" s="8">
        <f t="shared" si="19"/>
        <v>99.278000000000006</v>
      </c>
    </row>
    <row r="57" spans="1:24" s="4" customFormat="1" ht="51" customHeight="1" x14ac:dyDescent="0.35">
      <c r="A57" s="19"/>
      <c r="B57" s="46"/>
      <c r="C57" s="48" t="s">
        <v>37</v>
      </c>
      <c r="D57" s="226" t="s">
        <v>79</v>
      </c>
      <c r="E57" s="226"/>
      <c r="F57" s="62">
        <v>365790000</v>
      </c>
      <c r="G57" s="10">
        <v>0</v>
      </c>
      <c r="H57" s="10">
        <v>3979000</v>
      </c>
      <c r="I57" s="10">
        <v>47557900</v>
      </c>
      <c r="J57" s="10">
        <v>43905300</v>
      </c>
      <c r="K57" s="10">
        <v>40436000</v>
      </c>
      <c r="L57" s="10">
        <v>12976000</v>
      </c>
      <c r="M57" s="10">
        <v>9425000</v>
      </c>
      <c r="N57" s="10">
        <v>7200000</v>
      </c>
      <c r="O57" s="10">
        <v>2860000</v>
      </c>
      <c r="P57" s="10">
        <f>100719300</f>
        <v>100719300</v>
      </c>
      <c r="Q57" s="10">
        <v>16997000</v>
      </c>
      <c r="R57" s="10">
        <v>79694500</v>
      </c>
      <c r="S57" s="15">
        <f t="shared" si="3"/>
        <v>365750000</v>
      </c>
      <c r="T57" s="54">
        <f t="shared" si="13"/>
        <v>40000</v>
      </c>
      <c r="U57" s="8">
        <f t="shared" si="19"/>
        <v>99.989064763935588</v>
      </c>
    </row>
    <row r="58" spans="1:24" s="6" customFormat="1" ht="40.5" customHeight="1" x14ac:dyDescent="0.35">
      <c r="A58" s="20" t="s">
        <v>17</v>
      </c>
      <c r="B58" s="223" t="s">
        <v>80</v>
      </c>
      <c r="C58" s="223"/>
      <c r="D58" s="223"/>
      <c r="E58" s="223"/>
      <c r="F58" s="41">
        <f>SUM(F59:F60)</f>
        <v>55110000</v>
      </c>
      <c r="G58" s="41">
        <f t="shared" ref="G58:I58" si="20">SUM(G59:G60)</f>
        <v>0</v>
      </c>
      <c r="H58" s="41">
        <f t="shared" si="20"/>
        <v>0</v>
      </c>
      <c r="I58" s="41">
        <f t="shared" si="20"/>
        <v>0</v>
      </c>
      <c r="J58" s="41">
        <v>0</v>
      </c>
      <c r="K58" s="41">
        <f>SUM(K59:K60)</f>
        <v>2565000</v>
      </c>
      <c r="L58" s="41">
        <f>SUM(L59:L60)</f>
        <v>5280000</v>
      </c>
      <c r="M58" s="41">
        <f>SUM(M59:M60)</f>
        <v>1370000</v>
      </c>
      <c r="N58" s="41">
        <f>SUM(N59:N60)</f>
        <v>0</v>
      </c>
      <c r="O58" s="41">
        <f>SUM(O59:O60)</f>
        <v>0</v>
      </c>
      <c r="P58" s="41">
        <v>0</v>
      </c>
      <c r="Q58" s="41">
        <f>SUM(Q59:Q60)</f>
        <v>9570000</v>
      </c>
      <c r="R58" s="41">
        <f>SUM(R59:R60)</f>
        <v>15505000</v>
      </c>
      <c r="S58" s="41">
        <f>SUM(S59:S60)</f>
        <v>34290000</v>
      </c>
      <c r="T58" s="54">
        <f t="shared" si="13"/>
        <v>20820000</v>
      </c>
      <c r="U58" s="8">
        <f t="shared" si="19"/>
        <v>62.221012520413723</v>
      </c>
      <c r="V58" s="12"/>
      <c r="W58" s="12"/>
      <c r="X58" s="12"/>
    </row>
    <row r="59" spans="1:24" s="6" customFormat="1" ht="43.5" customHeight="1" x14ac:dyDescent="0.35">
      <c r="A59" s="19"/>
      <c r="B59" s="147"/>
      <c r="C59" s="48" t="s">
        <v>30</v>
      </c>
      <c r="D59" s="222" t="s">
        <v>81</v>
      </c>
      <c r="E59" s="222"/>
      <c r="F59" s="61">
        <v>25000000</v>
      </c>
      <c r="G59" s="11">
        <v>0</v>
      </c>
      <c r="H59" s="11">
        <v>0</v>
      </c>
      <c r="I59" s="11">
        <v>0</v>
      </c>
      <c r="J59" s="11">
        <v>0</v>
      </c>
      <c r="K59" s="35">
        <v>2565000</v>
      </c>
      <c r="L59" s="35">
        <v>5280000</v>
      </c>
      <c r="M59" s="35">
        <v>1370000</v>
      </c>
      <c r="N59" s="35">
        <v>0</v>
      </c>
      <c r="O59" s="35">
        <v>0</v>
      </c>
      <c r="P59" s="35">
        <v>0</v>
      </c>
      <c r="Q59" s="35">
        <v>9570000</v>
      </c>
      <c r="R59" s="35">
        <v>4595000</v>
      </c>
      <c r="S59" s="15">
        <f t="shared" si="3"/>
        <v>23380000</v>
      </c>
      <c r="T59" s="54">
        <f t="shared" ref="T59:T82" si="21">F59-S59</f>
        <v>1620000</v>
      </c>
      <c r="U59" s="8">
        <f t="shared" si="19"/>
        <v>93.52000000000001</v>
      </c>
      <c r="V59" s="12"/>
      <c r="W59" s="12"/>
      <c r="X59" s="12"/>
    </row>
    <row r="60" spans="1:24" s="6" customFormat="1" ht="65.25" customHeight="1" x14ac:dyDescent="0.35">
      <c r="A60" s="20"/>
      <c r="B60" s="147"/>
      <c r="C60" s="48" t="s">
        <v>31</v>
      </c>
      <c r="D60" s="222" t="s">
        <v>82</v>
      </c>
      <c r="E60" s="222"/>
      <c r="F60" s="58">
        <v>30110000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35">
        <v>10910000</v>
      </c>
      <c r="S60" s="15">
        <f t="shared" si="3"/>
        <v>10910000</v>
      </c>
      <c r="T60" s="54">
        <f t="shared" si="21"/>
        <v>19200000</v>
      </c>
      <c r="U60" s="8">
        <f t="shared" si="19"/>
        <v>36.233809365659248</v>
      </c>
      <c r="V60" s="12"/>
      <c r="W60" s="12"/>
      <c r="X60" s="12"/>
    </row>
    <row r="61" spans="1:24" s="6" customFormat="1" ht="46.5" customHeight="1" x14ac:dyDescent="0.35">
      <c r="A61" s="20" t="s">
        <v>39</v>
      </c>
      <c r="B61" s="46"/>
      <c r="C61" s="223" t="s">
        <v>83</v>
      </c>
      <c r="D61" s="223"/>
      <c r="E61" s="223"/>
      <c r="F61" s="45">
        <f>SUM(F62:F64)</f>
        <v>182100000</v>
      </c>
      <c r="G61" s="45">
        <f>SUM(G62:G69)</f>
        <v>0</v>
      </c>
      <c r="H61" s="45">
        <f t="shared" ref="H61:S61" si="22">SUM(H62:H64)</f>
        <v>1250000</v>
      </c>
      <c r="I61" s="45">
        <f t="shared" si="22"/>
        <v>3750000</v>
      </c>
      <c r="J61" s="45">
        <f t="shared" si="22"/>
        <v>5800000</v>
      </c>
      <c r="K61" s="45">
        <f t="shared" si="22"/>
        <v>9100000</v>
      </c>
      <c r="L61" s="45">
        <f t="shared" si="22"/>
        <v>17875000</v>
      </c>
      <c r="M61" s="45">
        <f t="shared" si="22"/>
        <v>5500000</v>
      </c>
      <c r="N61" s="45">
        <f t="shared" si="22"/>
        <v>11000000</v>
      </c>
      <c r="O61" s="45">
        <f t="shared" si="22"/>
        <v>3600000</v>
      </c>
      <c r="P61" s="45">
        <f t="shared" si="22"/>
        <v>5800000</v>
      </c>
      <c r="Q61" s="45">
        <f t="shared" si="22"/>
        <v>60485000</v>
      </c>
      <c r="R61" s="45">
        <f t="shared" si="22"/>
        <v>12670000</v>
      </c>
      <c r="S61" s="45">
        <f t="shared" si="22"/>
        <v>136830000</v>
      </c>
      <c r="T61" s="54">
        <f t="shared" si="21"/>
        <v>45270000</v>
      </c>
      <c r="U61" s="8">
        <f t="shared" si="19"/>
        <v>75.140032948929161</v>
      </c>
      <c r="V61" s="12"/>
      <c r="W61" s="12"/>
      <c r="X61" s="12"/>
    </row>
    <row r="62" spans="1:24" s="6" customFormat="1" ht="53.25" customHeight="1" x14ac:dyDescent="0.35">
      <c r="A62" s="20"/>
      <c r="B62" s="46"/>
      <c r="C62" s="49" t="s">
        <v>30</v>
      </c>
      <c r="D62" s="226" t="s">
        <v>84</v>
      </c>
      <c r="E62" s="226"/>
      <c r="F62" s="63">
        <v>52100000</v>
      </c>
      <c r="G62" s="11">
        <v>0</v>
      </c>
      <c r="H62" s="11">
        <v>0</v>
      </c>
      <c r="I62" s="11">
        <v>0</v>
      </c>
      <c r="J62" s="11">
        <v>0</v>
      </c>
      <c r="K62" s="35">
        <v>2300000</v>
      </c>
      <c r="L62" s="35">
        <v>10200000</v>
      </c>
      <c r="M62" s="35">
        <v>0</v>
      </c>
      <c r="N62" s="35">
        <v>0</v>
      </c>
      <c r="O62" s="35">
        <v>0</v>
      </c>
      <c r="P62" s="35">
        <v>0</v>
      </c>
      <c r="Q62" s="35">
        <v>34925000</v>
      </c>
      <c r="R62" s="35">
        <v>0</v>
      </c>
      <c r="S62" s="15">
        <f t="shared" si="3"/>
        <v>47425000</v>
      </c>
      <c r="T62" s="54">
        <f t="shared" si="21"/>
        <v>4675000</v>
      </c>
      <c r="U62" s="8">
        <f t="shared" si="19"/>
        <v>91.026871401151638</v>
      </c>
      <c r="V62" s="12"/>
      <c r="W62" s="12"/>
      <c r="X62" s="12"/>
    </row>
    <row r="63" spans="1:24" s="6" customFormat="1" ht="57.75" customHeight="1" x14ac:dyDescent="0.35">
      <c r="A63" s="20"/>
      <c r="B63" s="46"/>
      <c r="C63" s="49" t="s">
        <v>31</v>
      </c>
      <c r="D63" s="226" t="s">
        <v>85</v>
      </c>
      <c r="E63" s="226"/>
      <c r="F63" s="63">
        <v>50000000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35">
        <v>23060000</v>
      </c>
      <c r="R63" s="35">
        <v>3670000</v>
      </c>
      <c r="S63" s="15">
        <f t="shared" si="3"/>
        <v>26730000</v>
      </c>
      <c r="T63" s="54">
        <f t="shared" si="21"/>
        <v>23270000</v>
      </c>
      <c r="U63" s="8">
        <f t="shared" si="19"/>
        <v>53.459999999999994</v>
      </c>
      <c r="V63" s="12"/>
      <c r="W63" s="12"/>
      <c r="X63" s="12"/>
    </row>
    <row r="64" spans="1:24" s="6" customFormat="1" ht="45.75" customHeight="1" x14ac:dyDescent="0.35">
      <c r="A64" s="19"/>
      <c r="B64" s="46"/>
      <c r="C64" s="49" t="s">
        <v>32</v>
      </c>
      <c r="D64" s="226" t="s">
        <v>86</v>
      </c>
      <c r="E64" s="226"/>
      <c r="F64" s="63">
        <v>80000000</v>
      </c>
      <c r="G64" s="11">
        <v>0</v>
      </c>
      <c r="H64" s="35">
        <v>1250000</v>
      </c>
      <c r="I64" s="35">
        <v>3750000</v>
      </c>
      <c r="J64" s="35">
        <v>5800000</v>
      </c>
      <c r="K64" s="35">
        <v>6800000</v>
      </c>
      <c r="L64" s="35">
        <f>3300000+4375000</f>
        <v>7675000</v>
      </c>
      <c r="M64" s="11">
        <v>5500000</v>
      </c>
      <c r="N64" s="35">
        <v>11000000</v>
      </c>
      <c r="O64" s="35">
        <v>3600000</v>
      </c>
      <c r="P64" s="35">
        <f>5800000</f>
        <v>5800000</v>
      </c>
      <c r="Q64" s="35">
        <v>2500000</v>
      </c>
      <c r="R64" s="35">
        <v>9000000</v>
      </c>
      <c r="S64" s="15">
        <f t="shared" si="3"/>
        <v>62675000</v>
      </c>
      <c r="T64" s="54">
        <f t="shared" si="21"/>
        <v>17325000</v>
      </c>
      <c r="U64" s="8">
        <f t="shared" si="19"/>
        <v>78.34375</v>
      </c>
      <c r="V64" s="12"/>
      <c r="W64" s="12"/>
      <c r="X64" s="12"/>
    </row>
    <row r="65" spans="1:24" s="4" customFormat="1" ht="56.25" customHeight="1" x14ac:dyDescent="0.35">
      <c r="A65" s="28" t="s">
        <v>40</v>
      </c>
      <c r="B65" s="217" t="s">
        <v>87</v>
      </c>
      <c r="C65" s="218"/>
      <c r="D65" s="218"/>
      <c r="E65" s="219"/>
      <c r="F65" s="45">
        <f>SUM(F66:F74)</f>
        <v>5425738400</v>
      </c>
      <c r="G65" s="45">
        <f>SUM(G66:G73)</f>
        <v>0</v>
      </c>
      <c r="H65" s="45">
        <f t="shared" ref="H65:S65" si="23">SUM(H66:H74)</f>
        <v>622451000</v>
      </c>
      <c r="I65" s="45">
        <f t="shared" si="23"/>
        <v>291565000</v>
      </c>
      <c r="J65" s="45">
        <f t="shared" si="23"/>
        <v>448650000</v>
      </c>
      <c r="K65" s="45">
        <f t="shared" si="23"/>
        <v>331910000</v>
      </c>
      <c r="L65" s="45">
        <f t="shared" si="23"/>
        <v>565023000</v>
      </c>
      <c r="M65" s="45">
        <f t="shared" si="23"/>
        <v>265676000</v>
      </c>
      <c r="N65" s="45">
        <f t="shared" si="23"/>
        <v>472460000</v>
      </c>
      <c r="O65" s="45">
        <f t="shared" si="23"/>
        <v>347585500</v>
      </c>
      <c r="P65" s="45">
        <f t="shared" si="23"/>
        <v>513618000</v>
      </c>
      <c r="Q65" s="45">
        <f t="shared" si="23"/>
        <v>370765000</v>
      </c>
      <c r="R65" s="45">
        <f t="shared" si="23"/>
        <v>1056211700</v>
      </c>
      <c r="S65" s="45">
        <f t="shared" si="23"/>
        <v>5285915200</v>
      </c>
      <c r="T65" s="54">
        <f t="shared" si="21"/>
        <v>139823200</v>
      </c>
      <c r="U65" s="8">
        <f t="shared" si="19"/>
        <v>97.422964586718734</v>
      </c>
      <c r="V65" s="13"/>
      <c r="W65" s="13"/>
      <c r="X65" s="13"/>
    </row>
    <row r="66" spans="1:24" s="4" customFormat="1" ht="56.25" customHeight="1" x14ac:dyDescent="0.35">
      <c r="A66" s="28"/>
      <c r="B66" s="147"/>
      <c r="C66" s="47" t="s">
        <v>30</v>
      </c>
      <c r="D66" s="212" t="s">
        <v>88</v>
      </c>
      <c r="E66" s="213"/>
      <c r="F66" s="66">
        <v>925000000</v>
      </c>
      <c r="G66" s="11">
        <v>0</v>
      </c>
      <c r="H66" s="35">
        <v>72000000</v>
      </c>
      <c r="I66" s="35">
        <v>72000000</v>
      </c>
      <c r="J66" s="35">
        <v>72000000</v>
      </c>
      <c r="K66" s="35">
        <f>72000000+25560000</f>
        <v>97560000</v>
      </c>
      <c r="L66" s="35">
        <f>72000000</f>
        <v>72000000</v>
      </c>
      <c r="M66" s="35">
        <v>72000000</v>
      </c>
      <c r="N66" s="35">
        <v>72000000</v>
      </c>
      <c r="O66" s="35">
        <v>72000000</v>
      </c>
      <c r="P66" s="35">
        <v>72000000</v>
      </c>
      <c r="Q66" s="35">
        <v>72000000</v>
      </c>
      <c r="R66" s="35">
        <f>144000000-2050000</f>
        <v>141950000</v>
      </c>
      <c r="S66" s="15">
        <f t="shared" si="3"/>
        <v>887510000</v>
      </c>
      <c r="T66" s="54">
        <f t="shared" si="21"/>
        <v>37490000</v>
      </c>
      <c r="U66" s="8">
        <f t="shared" si="19"/>
        <v>95.947027027027033</v>
      </c>
      <c r="V66" s="13"/>
      <c r="W66" s="13"/>
      <c r="X66" s="13"/>
    </row>
    <row r="67" spans="1:24" s="4" customFormat="1" ht="56.25" customHeight="1" x14ac:dyDescent="0.35">
      <c r="A67" s="28"/>
      <c r="B67" s="146"/>
      <c r="C67" s="48" t="s">
        <v>31</v>
      </c>
      <c r="D67" s="212" t="s">
        <v>89</v>
      </c>
      <c r="E67" s="213"/>
      <c r="F67" s="60">
        <v>509795000</v>
      </c>
      <c r="G67" s="11">
        <v>0</v>
      </c>
      <c r="H67" s="35">
        <v>332051000</v>
      </c>
      <c r="I67" s="35">
        <v>3365000</v>
      </c>
      <c r="J67" s="35">
        <v>0</v>
      </c>
      <c r="K67" s="35">
        <v>0</v>
      </c>
      <c r="L67" s="35">
        <v>0</v>
      </c>
      <c r="M67" s="35">
        <v>0</v>
      </c>
      <c r="N67" s="35">
        <v>8550000</v>
      </c>
      <c r="O67" s="35">
        <v>0</v>
      </c>
      <c r="P67" s="35">
        <v>1050000</v>
      </c>
      <c r="Q67" s="35">
        <v>0</v>
      </c>
      <c r="R67" s="35">
        <f>158796700+4680000</f>
        <v>163476700</v>
      </c>
      <c r="S67" s="15">
        <f t="shared" si="3"/>
        <v>508492700</v>
      </c>
      <c r="T67" s="54">
        <f t="shared" si="21"/>
        <v>1302300</v>
      </c>
      <c r="U67" s="8">
        <f t="shared" si="19"/>
        <v>99.74454437568042</v>
      </c>
      <c r="V67" s="13"/>
      <c r="W67" s="13"/>
      <c r="X67" s="13"/>
    </row>
    <row r="68" spans="1:24" s="4" customFormat="1" ht="56.25" customHeight="1" x14ac:dyDescent="0.35">
      <c r="A68" s="28"/>
      <c r="B68" s="146"/>
      <c r="C68" s="48" t="s">
        <v>32</v>
      </c>
      <c r="D68" s="212" t="s">
        <v>90</v>
      </c>
      <c r="E68" s="213"/>
      <c r="F68" s="60">
        <v>100000000</v>
      </c>
      <c r="G68" s="11">
        <v>0</v>
      </c>
      <c r="H68" s="11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10835500</v>
      </c>
      <c r="P68" s="35">
        <f>79300000+1920000</f>
        <v>81220000</v>
      </c>
      <c r="Q68" s="35">
        <v>0</v>
      </c>
      <c r="R68" s="35">
        <v>6571800</v>
      </c>
      <c r="S68" s="15">
        <f t="shared" si="3"/>
        <v>98627300</v>
      </c>
      <c r="T68" s="54">
        <f t="shared" si="21"/>
        <v>1372700</v>
      </c>
      <c r="U68" s="8">
        <f t="shared" si="19"/>
        <v>98.627299999999991</v>
      </c>
      <c r="V68" s="13"/>
      <c r="W68" s="13"/>
      <c r="X68" s="13"/>
    </row>
    <row r="69" spans="1:24" s="4" customFormat="1" ht="56.25" customHeight="1" x14ac:dyDescent="0.35">
      <c r="A69" s="28"/>
      <c r="B69" s="146"/>
      <c r="C69" s="48" t="s">
        <v>33</v>
      </c>
      <c r="D69" s="212" t="s">
        <v>91</v>
      </c>
      <c r="E69" s="213"/>
      <c r="F69" s="60">
        <v>250000000</v>
      </c>
      <c r="G69" s="11">
        <v>0</v>
      </c>
      <c r="H69" s="11">
        <v>0</v>
      </c>
      <c r="I69" s="35">
        <v>1400000</v>
      </c>
      <c r="J69" s="35">
        <v>81200000</v>
      </c>
      <c r="K69" s="35">
        <f>19550000</f>
        <v>19550000</v>
      </c>
      <c r="L69" s="35">
        <v>0</v>
      </c>
      <c r="M69" s="35">
        <v>0</v>
      </c>
      <c r="N69" s="35">
        <v>0</v>
      </c>
      <c r="O69" s="35">
        <v>0</v>
      </c>
      <c r="P69" s="35">
        <v>18900000</v>
      </c>
      <c r="Q69" s="35">
        <v>54860000</v>
      </c>
      <c r="R69" s="35">
        <f>50000000+2100000</f>
        <v>52100000</v>
      </c>
      <c r="S69" s="15">
        <f t="shared" si="3"/>
        <v>228010000</v>
      </c>
      <c r="T69" s="54">
        <f t="shared" si="21"/>
        <v>21990000</v>
      </c>
      <c r="U69" s="8">
        <f t="shared" si="19"/>
        <v>91.203999999999994</v>
      </c>
      <c r="V69" s="13"/>
      <c r="W69" s="13"/>
      <c r="X69" s="13"/>
    </row>
    <row r="70" spans="1:24" s="4" customFormat="1" ht="56.25" customHeight="1" x14ac:dyDescent="0.35">
      <c r="A70" s="28"/>
      <c r="B70" s="146"/>
      <c r="C70" s="48" t="s">
        <v>34</v>
      </c>
      <c r="D70" s="212" t="s">
        <v>92</v>
      </c>
      <c r="E70" s="213"/>
      <c r="F70" s="60">
        <v>2254800000</v>
      </c>
      <c r="G70" s="11">
        <v>0</v>
      </c>
      <c r="H70" s="35">
        <v>170000000</v>
      </c>
      <c r="I70" s="35">
        <v>188000000</v>
      </c>
      <c r="J70" s="35">
        <f>170000000+54000000</f>
        <v>224000000</v>
      </c>
      <c r="K70" s="35">
        <f>170000000+18000000</f>
        <v>188000000</v>
      </c>
      <c r="L70" s="35">
        <v>170000000</v>
      </c>
      <c r="M70" s="35">
        <v>166600000</v>
      </c>
      <c r="N70" s="35">
        <f>170000000</f>
        <v>170000000</v>
      </c>
      <c r="O70" s="35">
        <f>54000000+168300000</f>
        <v>222300000</v>
      </c>
      <c r="P70" s="35">
        <f>170000000+36000000</f>
        <v>206000000</v>
      </c>
      <c r="Q70" s="35">
        <v>170000000</v>
      </c>
      <c r="R70" s="35">
        <f>340000000+18300000</f>
        <v>358300000</v>
      </c>
      <c r="S70" s="15">
        <f t="shared" si="3"/>
        <v>2233200000</v>
      </c>
      <c r="T70" s="54">
        <f t="shared" si="21"/>
        <v>21600000</v>
      </c>
      <c r="U70" s="8">
        <f t="shared" si="19"/>
        <v>99.042043640234169</v>
      </c>
      <c r="V70" s="13"/>
      <c r="W70" s="13"/>
      <c r="X70" s="13"/>
    </row>
    <row r="71" spans="1:24" s="4" customFormat="1" ht="56.25" customHeight="1" x14ac:dyDescent="0.35">
      <c r="A71" s="28"/>
      <c r="B71" s="146"/>
      <c r="C71" s="48" t="s">
        <v>35</v>
      </c>
      <c r="D71" s="212" t="s">
        <v>93</v>
      </c>
      <c r="E71" s="213"/>
      <c r="F71" s="60">
        <v>750000000</v>
      </c>
      <c r="G71" s="11">
        <v>0</v>
      </c>
      <c r="H71" s="35">
        <v>48400000</v>
      </c>
      <c r="I71" s="35">
        <v>26800000</v>
      </c>
      <c r="J71" s="35">
        <v>26800000</v>
      </c>
      <c r="K71" s="35">
        <v>26800000</v>
      </c>
      <c r="L71" s="35">
        <f>97888000+220820000</f>
        <v>318708000</v>
      </c>
      <c r="M71" s="35">
        <v>20100000</v>
      </c>
      <c r="N71" s="35">
        <v>121750000</v>
      </c>
      <c r="O71" s="35">
        <f>33000000+9450000</f>
        <v>42450000</v>
      </c>
      <c r="P71" s="35">
        <v>33500000</v>
      </c>
      <c r="Q71" s="35">
        <v>24350000</v>
      </c>
      <c r="R71" s="35">
        <v>57376000</v>
      </c>
      <c r="S71" s="15">
        <f t="shared" si="3"/>
        <v>747034000</v>
      </c>
      <c r="T71" s="54">
        <f t="shared" si="21"/>
        <v>2966000</v>
      </c>
      <c r="U71" s="8">
        <f t="shared" si="19"/>
        <v>99.604533333333336</v>
      </c>
      <c r="V71" s="13"/>
      <c r="W71" s="13"/>
      <c r="X71" s="13"/>
    </row>
    <row r="72" spans="1:24" s="4" customFormat="1" ht="56.25" customHeight="1" x14ac:dyDescent="0.35">
      <c r="A72" s="28"/>
      <c r="B72" s="146"/>
      <c r="C72" s="48" t="s">
        <v>36</v>
      </c>
      <c r="D72" s="212" t="s">
        <v>94</v>
      </c>
      <c r="E72" s="213"/>
      <c r="F72" s="60">
        <v>150000000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35">
        <f>99660000+500000</f>
        <v>100160000</v>
      </c>
      <c r="O72" s="35">
        <v>0</v>
      </c>
      <c r="P72" s="35">
        <v>0</v>
      </c>
      <c r="Q72" s="35">
        <v>49555000</v>
      </c>
      <c r="R72" s="35">
        <v>0</v>
      </c>
      <c r="S72" s="15">
        <f t="shared" si="3"/>
        <v>149715000</v>
      </c>
      <c r="T72" s="54">
        <f t="shared" si="21"/>
        <v>285000</v>
      </c>
      <c r="U72" s="8">
        <f t="shared" si="19"/>
        <v>99.81</v>
      </c>
      <c r="V72" s="13"/>
      <c r="W72" s="13"/>
      <c r="X72" s="13"/>
    </row>
    <row r="73" spans="1:24" s="4" customFormat="1" ht="56.25" customHeight="1" x14ac:dyDescent="0.35">
      <c r="A73" s="28"/>
      <c r="B73" s="146"/>
      <c r="C73" s="48" t="s">
        <v>37</v>
      </c>
      <c r="D73" s="212" t="s">
        <v>95</v>
      </c>
      <c r="E73" s="213"/>
      <c r="F73" s="64">
        <v>150000000</v>
      </c>
      <c r="G73" s="11">
        <v>0</v>
      </c>
      <c r="H73" s="11">
        <v>0</v>
      </c>
      <c r="I73" s="11">
        <v>0</v>
      </c>
      <c r="J73" s="35">
        <v>44650000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41550000</v>
      </c>
      <c r="Q73" s="35">
        <v>0</v>
      </c>
      <c r="R73" s="35">
        <v>43000000</v>
      </c>
      <c r="S73" s="15">
        <f t="shared" si="3"/>
        <v>129200000</v>
      </c>
      <c r="T73" s="54">
        <f t="shared" si="21"/>
        <v>20800000</v>
      </c>
      <c r="U73" s="8">
        <f t="shared" si="19"/>
        <v>86.133333333333326</v>
      </c>
      <c r="V73" s="13"/>
      <c r="W73" s="13"/>
      <c r="X73" s="13"/>
    </row>
    <row r="74" spans="1:24" s="4" customFormat="1" ht="56.25" customHeight="1" x14ac:dyDescent="0.35">
      <c r="A74" s="28"/>
      <c r="B74" s="146"/>
      <c r="C74" s="48" t="s">
        <v>38</v>
      </c>
      <c r="D74" s="212" t="s">
        <v>96</v>
      </c>
      <c r="E74" s="213"/>
      <c r="F74" s="60">
        <v>336143400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35">
        <v>4315000</v>
      </c>
      <c r="M74" s="35">
        <v>6976000</v>
      </c>
      <c r="N74" s="35">
        <v>0</v>
      </c>
      <c r="O74" s="35">
        <v>0</v>
      </c>
      <c r="P74" s="35">
        <v>59398000</v>
      </c>
      <c r="Q74" s="35">
        <v>0</v>
      </c>
      <c r="R74" s="35">
        <f>223401000+10036200</f>
        <v>233437200</v>
      </c>
      <c r="S74" s="15">
        <f t="shared" si="3"/>
        <v>304126200</v>
      </c>
      <c r="T74" s="54">
        <f t="shared" si="21"/>
        <v>32017200</v>
      </c>
      <c r="U74" s="8">
        <f t="shared" si="19"/>
        <v>90.475136504241931</v>
      </c>
      <c r="V74" s="13"/>
      <c r="W74" s="13"/>
      <c r="X74" s="13"/>
    </row>
    <row r="75" spans="1:24" s="31" customFormat="1" ht="78.75" customHeight="1" x14ac:dyDescent="0.35">
      <c r="A75" s="20" t="s">
        <v>47</v>
      </c>
      <c r="B75" s="217" t="s">
        <v>97</v>
      </c>
      <c r="C75" s="218"/>
      <c r="D75" s="218"/>
      <c r="E75" s="219"/>
      <c r="F75" s="41">
        <f>SUM(F76:F78)</f>
        <v>291990000</v>
      </c>
      <c r="G75" s="45">
        <f>SUM(G76)</f>
        <v>0</v>
      </c>
      <c r="H75" s="45">
        <v>0</v>
      </c>
      <c r="I75" s="41">
        <f>SUM(I76+I77+I78)</f>
        <v>10180000</v>
      </c>
      <c r="J75" s="41">
        <f>SUM(J76+J77+J78)</f>
        <v>0</v>
      </c>
      <c r="K75" s="41">
        <f>SUM(K76+K77+K78)</f>
        <v>0</v>
      </c>
      <c r="L75" s="41">
        <f>SUM(L76+L77+L78)</f>
        <v>0</v>
      </c>
      <c r="M75" s="41">
        <f t="shared" ref="M75:S75" si="24">SUM(M76:M78)</f>
        <v>48370000</v>
      </c>
      <c r="N75" s="41">
        <f t="shared" si="24"/>
        <v>0</v>
      </c>
      <c r="O75" s="41">
        <f t="shared" si="24"/>
        <v>73695000</v>
      </c>
      <c r="P75" s="41">
        <f t="shared" si="24"/>
        <v>0</v>
      </c>
      <c r="Q75" s="41">
        <f t="shared" si="24"/>
        <v>6570000</v>
      </c>
      <c r="R75" s="41">
        <f t="shared" si="24"/>
        <v>48997000</v>
      </c>
      <c r="S75" s="41">
        <f t="shared" si="24"/>
        <v>187812000</v>
      </c>
      <c r="T75" s="54">
        <f t="shared" si="21"/>
        <v>104178000</v>
      </c>
      <c r="U75" s="8">
        <f t="shared" si="19"/>
        <v>64.321380869207843</v>
      </c>
      <c r="V75" s="12"/>
      <c r="W75" s="12"/>
      <c r="X75" s="12"/>
    </row>
    <row r="76" spans="1:24" s="6" customFormat="1" ht="57.75" customHeight="1" x14ac:dyDescent="0.35">
      <c r="A76" s="28"/>
      <c r="B76" s="52"/>
      <c r="C76" s="50" t="s">
        <v>30</v>
      </c>
      <c r="D76" s="214" t="s">
        <v>98</v>
      </c>
      <c r="E76" s="214"/>
      <c r="F76" s="62">
        <v>50000000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35">
        <v>39700000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15">
        <f t="shared" ref="S76:S90" si="25">SUM(G76:R76)</f>
        <v>39700000</v>
      </c>
      <c r="T76" s="54">
        <f t="shared" si="21"/>
        <v>10300000</v>
      </c>
      <c r="U76" s="8">
        <f t="shared" si="19"/>
        <v>79.400000000000006</v>
      </c>
      <c r="V76" s="12"/>
      <c r="W76" s="12"/>
      <c r="X76" s="12"/>
    </row>
    <row r="77" spans="1:24" s="12" customFormat="1" ht="43.5" customHeight="1" x14ac:dyDescent="0.35">
      <c r="A77" s="20"/>
      <c r="B77" s="52"/>
      <c r="C77" s="50" t="s">
        <v>31</v>
      </c>
      <c r="D77" s="214" t="s">
        <v>99</v>
      </c>
      <c r="E77" s="214"/>
      <c r="F77" s="65">
        <v>141990000</v>
      </c>
      <c r="G77" s="11">
        <v>0</v>
      </c>
      <c r="H77" s="11">
        <v>0</v>
      </c>
      <c r="I77" s="11">
        <v>10180000</v>
      </c>
      <c r="J77" s="11">
        <v>0</v>
      </c>
      <c r="K77" s="11">
        <v>0</v>
      </c>
      <c r="L77" s="11">
        <v>0</v>
      </c>
      <c r="M77" s="35">
        <v>8670000</v>
      </c>
      <c r="N77" s="35">
        <v>0</v>
      </c>
      <c r="O77" s="35">
        <v>42620000</v>
      </c>
      <c r="P77" s="35">
        <v>0</v>
      </c>
      <c r="Q77" s="35">
        <v>6570000</v>
      </c>
      <c r="R77" s="35">
        <f>41387000+7610000</f>
        <v>48997000</v>
      </c>
      <c r="S77" s="15">
        <f t="shared" si="25"/>
        <v>117037000</v>
      </c>
      <c r="T77" s="54">
        <f t="shared" si="21"/>
        <v>24953000</v>
      </c>
      <c r="U77" s="8">
        <f t="shared" si="19"/>
        <v>82.42622719909852</v>
      </c>
    </row>
    <row r="78" spans="1:24" s="12" customFormat="1" ht="43.5" customHeight="1" x14ac:dyDescent="0.35">
      <c r="A78" s="20"/>
      <c r="B78" s="52"/>
      <c r="C78" s="50" t="s">
        <v>32</v>
      </c>
      <c r="D78" s="215" t="s">
        <v>100</v>
      </c>
      <c r="E78" s="216"/>
      <c r="F78" s="67">
        <v>100000000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35">
        <v>31075000</v>
      </c>
      <c r="P78" s="35">
        <v>0</v>
      </c>
      <c r="Q78" s="35">
        <v>0</v>
      </c>
      <c r="R78" s="35">
        <v>0</v>
      </c>
      <c r="S78" s="15">
        <f t="shared" si="25"/>
        <v>31075000</v>
      </c>
      <c r="T78" s="54">
        <f t="shared" si="21"/>
        <v>68925000</v>
      </c>
      <c r="U78" s="8">
        <f t="shared" si="19"/>
        <v>31.075000000000003</v>
      </c>
    </row>
    <row r="79" spans="1:24" s="12" customFormat="1" ht="37.5" customHeight="1" x14ac:dyDescent="0.35">
      <c r="A79" s="20" t="s">
        <v>66</v>
      </c>
      <c r="B79" s="217" t="s">
        <v>101</v>
      </c>
      <c r="C79" s="218"/>
      <c r="D79" s="218"/>
      <c r="E79" s="219"/>
      <c r="F79" s="45">
        <f>SUM(F80:F82)</f>
        <v>650000000</v>
      </c>
      <c r="G79" s="45">
        <v>0</v>
      </c>
      <c r="H79" s="45">
        <f t="shared" ref="H79:S79" si="26">SUM(H80:H82)</f>
        <v>7724000</v>
      </c>
      <c r="I79" s="45">
        <f t="shared" si="26"/>
        <v>41117000</v>
      </c>
      <c r="J79" s="45">
        <f t="shared" si="26"/>
        <v>0</v>
      </c>
      <c r="K79" s="45">
        <f t="shared" si="26"/>
        <v>31918000</v>
      </c>
      <c r="L79" s="45">
        <f t="shared" si="26"/>
        <v>0</v>
      </c>
      <c r="M79" s="45">
        <f t="shared" si="26"/>
        <v>27820000</v>
      </c>
      <c r="N79" s="45">
        <f t="shared" si="26"/>
        <v>6694500</v>
      </c>
      <c r="O79" s="45">
        <f t="shared" si="26"/>
        <v>0</v>
      </c>
      <c r="P79" s="45">
        <f t="shared" si="26"/>
        <v>36279500</v>
      </c>
      <c r="Q79" s="45">
        <f t="shared" si="26"/>
        <v>143142000</v>
      </c>
      <c r="R79" s="45">
        <f t="shared" si="26"/>
        <v>310438375</v>
      </c>
      <c r="S79" s="45">
        <f t="shared" si="26"/>
        <v>605133375</v>
      </c>
      <c r="T79" s="54">
        <f t="shared" si="21"/>
        <v>44866625</v>
      </c>
      <c r="U79" s="8">
        <f t="shared" si="19"/>
        <v>93.097442307692319</v>
      </c>
    </row>
    <row r="80" spans="1:24" s="12" customFormat="1" ht="55.5" customHeight="1" x14ac:dyDescent="0.35">
      <c r="A80" s="20"/>
      <c r="B80" s="52"/>
      <c r="C80" s="48" t="s">
        <v>30</v>
      </c>
      <c r="D80" s="212" t="s">
        <v>102</v>
      </c>
      <c r="E80" s="213"/>
      <c r="F80" s="58">
        <v>550000000</v>
      </c>
      <c r="G80" s="11">
        <v>0</v>
      </c>
      <c r="H80" s="35">
        <v>7724000</v>
      </c>
      <c r="I80" s="35">
        <v>26817000</v>
      </c>
      <c r="J80" s="35">
        <v>0</v>
      </c>
      <c r="K80" s="35">
        <v>8028000</v>
      </c>
      <c r="L80" s="35">
        <v>0</v>
      </c>
      <c r="M80" s="35">
        <v>0</v>
      </c>
      <c r="N80" s="35">
        <v>0</v>
      </c>
      <c r="O80" s="35">
        <v>0</v>
      </c>
      <c r="P80" s="35">
        <f>11384000+25264000</f>
        <v>36648000</v>
      </c>
      <c r="Q80" s="35">
        <f>128382000+14760000</f>
        <v>143142000</v>
      </c>
      <c r="R80" s="35">
        <f>17184000+293614375</f>
        <v>310798375</v>
      </c>
      <c r="S80" s="15">
        <f t="shared" si="25"/>
        <v>533157375</v>
      </c>
      <c r="T80" s="54">
        <f t="shared" si="21"/>
        <v>16842625</v>
      </c>
      <c r="U80" s="8">
        <f t="shared" si="19"/>
        <v>96.937704545454551</v>
      </c>
    </row>
    <row r="81" spans="1:24" s="12" customFormat="1" ht="55.5" customHeight="1" x14ac:dyDescent="0.35">
      <c r="A81" s="20"/>
      <c r="B81" s="52"/>
      <c r="C81" s="48" t="s">
        <v>31</v>
      </c>
      <c r="D81" s="212" t="s">
        <v>103</v>
      </c>
      <c r="E81" s="213"/>
      <c r="F81" s="58">
        <v>50000000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35">
        <v>27820000</v>
      </c>
      <c r="N81" s="35">
        <v>6694500</v>
      </c>
      <c r="O81" s="35">
        <v>0</v>
      </c>
      <c r="P81" s="35">
        <f>-368500</f>
        <v>-368500</v>
      </c>
      <c r="Q81" s="35">
        <v>0</v>
      </c>
      <c r="R81" s="35">
        <v>0</v>
      </c>
      <c r="S81" s="15">
        <f t="shared" si="25"/>
        <v>34146000</v>
      </c>
      <c r="T81" s="54">
        <f t="shared" si="21"/>
        <v>15854000</v>
      </c>
      <c r="U81" s="8">
        <f t="shared" si="19"/>
        <v>68.292000000000002</v>
      </c>
    </row>
    <row r="82" spans="1:24" s="12" customFormat="1" ht="40.5" customHeight="1" x14ac:dyDescent="0.35">
      <c r="A82" s="20"/>
      <c r="B82" s="52"/>
      <c r="C82" s="48" t="s">
        <v>32</v>
      </c>
      <c r="D82" s="222" t="s">
        <v>104</v>
      </c>
      <c r="E82" s="222"/>
      <c r="F82" s="58">
        <v>50000000</v>
      </c>
      <c r="G82" s="11">
        <v>0</v>
      </c>
      <c r="H82" s="11">
        <v>0</v>
      </c>
      <c r="I82" s="35">
        <v>14300000</v>
      </c>
      <c r="J82" s="11">
        <v>0</v>
      </c>
      <c r="K82" s="35">
        <v>23890000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f>-360000</f>
        <v>-360000</v>
      </c>
      <c r="S82" s="15">
        <f t="shared" si="25"/>
        <v>37830000</v>
      </c>
      <c r="T82" s="54">
        <f t="shared" si="21"/>
        <v>12170000</v>
      </c>
      <c r="U82" s="8">
        <f t="shared" si="19"/>
        <v>75.660000000000011</v>
      </c>
    </row>
    <row r="83" spans="1:24" s="4" customFormat="1" ht="91.5" customHeight="1" x14ac:dyDescent="0.35">
      <c r="A83" s="20" t="s">
        <v>49</v>
      </c>
      <c r="B83" s="223" t="s">
        <v>105</v>
      </c>
      <c r="C83" s="223"/>
      <c r="D83" s="223"/>
      <c r="E83" s="223"/>
      <c r="F83" s="45">
        <f>SUM(F84:F90)</f>
        <v>9834121000</v>
      </c>
      <c r="G83" s="45">
        <f t="shared" ref="G83:P83" si="27">SUM(G84:G90)</f>
        <v>437292484</v>
      </c>
      <c r="H83" s="45">
        <f t="shared" si="27"/>
        <v>477079640</v>
      </c>
      <c r="I83" s="45">
        <f t="shared" si="27"/>
        <v>1689762786</v>
      </c>
      <c r="J83" s="45">
        <f t="shared" si="27"/>
        <v>492916984</v>
      </c>
      <c r="K83" s="45">
        <f t="shared" si="27"/>
        <v>505098660</v>
      </c>
      <c r="L83" s="45">
        <f t="shared" si="27"/>
        <v>479008130</v>
      </c>
      <c r="M83" s="45">
        <f t="shared" si="27"/>
        <v>620812133</v>
      </c>
      <c r="N83" s="45">
        <f t="shared" si="27"/>
        <v>597028281</v>
      </c>
      <c r="O83" s="45">
        <f t="shared" si="27"/>
        <v>416255946</v>
      </c>
      <c r="P83" s="45">
        <f t="shared" si="27"/>
        <v>503320645</v>
      </c>
      <c r="Q83" s="45">
        <f>SUM(Q84:Q90)</f>
        <v>570704742</v>
      </c>
      <c r="R83" s="45">
        <f>SUM(R84:R90)</f>
        <v>2456633638</v>
      </c>
      <c r="S83" s="15">
        <f t="shared" si="25"/>
        <v>9245914069</v>
      </c>
      <c r="T83" s="45">
        <f t="shared" ref="T83" si="28">SUM(T84:T90)</f>
        <v>588206931</v>
      </c>
      <c r="U83" s="8">
        <f t="shared" si="19"/>
        <v>94.018713711169511</v>
      </c>
      <c r="V83" s="13"/>
      <c r="W83" s="13"/>
      <c r="X83" s="13"/>
    </row>
    <row r="84" spans="1:24" s="30" customFormat="1" ht="65.25" customHeight="1" x14ac:dyDescent="0.35">
      <c r="A84" s="20"/>
      <c r="B84" s="147"/>
      <c r="C84" s="48" t="s">
        <v>30</v>
      </c>
      <c r="D84" s="222" t="s">
        <v>107</v>
      </c>
      <c r="E84" s="222"/>
      <c r="F84" s="60">
        <v>150000000</v>
      </c>
      <c r="G84" s="11">
        <v>0</v>
      </c>
      <c r="H84" s="11">
        <v>0</v>
      </c>
      <c r="I84" s="35">
        <v>19800000</v>
      </c>
      <c r="J84" s="35">
        <v>9900000</v>
      </c>
      <c r="K84" s="35">
        <v>9900000</v>
      </c>
      <c r="L84" s="35">
        <v>9900000</v>
      </c>
      <c r="M84" s="35">
        <v>9900000</v>
      </c>
      <c r="N84" s="35">
        <v>9900000</v>
      </c>
      <c r="O84" s="35">
        <v>9900000</v>
      </c>
      <c r="P84" s="35">
        <v>9900000</v>
      </c>
      <c r="Q84" s="35">
        <v>9900000</v>
      </c>
      <c r="R84" s="35">
        <f>19800000</f>
        <v>19800000</v>
      </c>
      <c r="S84" s="15">
        <f t="shared" si="25"/>
        <v>118800000</v>
      </c>
      <c r="T84" s="54">
        <f t="shared" ref="T84:T90" si="29">F84-S84</f>
        <v>31200000</v>
      </c>
      <c r="U84" s="8">
        <f t="shared" si="19"/>
        <v>79.2</v>
      </c>
      <c r="V84" s="12"/>
      <c r="W84" s="12"/>
      <c r="X84" s="12"/>
    </row>
    <row r="85" spans="1:24" s="4" customFormat="1" ht="78.75" customHeight="1" x14ac:dyDescent="0.35">
      <c r="A85" s="28"/>
      <c r="B85" s="52"/>
      <c r="C85" s="50" t="s">
        <v>31</v>
      </c>
      <c r="D85" s="222" t="s">
        <v>108</v>
      </c>
      <c r="E85" s="222"/>
      <c r="F85" s="60">
        <v>220000000</v>
      </c>
      <c r="G85" s="11">
        <v>0</v>
      </c>
      <c r="H85" s="35">
        <v>10200000</v>
      </c>
      <c r="I85" s="35">
        <v>10200000</v>
      </c>
      <c r="J85" s="35">
        <v>10200000</v>
      </c>
      <c r="K85" s="35">
        <v>10200000</v>
      </c>
      <c r="L85" s="35">
        <v>10200000</v>
      </c>
      <c r="M85" s="35">
        <v>10200000</v>
      </c>
      <c r="N85" s="35">
        <v>10200000</v>
      </c>
      <c r="O85" s="35">
        <v>10200000</v>
      </c>
      <c r="P85" s="35">
        <v>10200000</v>
      </c>
      <c r="Q85" s="35">
        <f>37600000+35825000</f>
        <v>73425000</v>
      </c>
      <c r="R85" s="35">
        <f>20400000+32675000</f>
        <v>53075000</v>
      </c>
      <c r="S85" s="15">
        <f t="shared" si="25"/>
        <v>218300000</v>
      </c>
      <c r="T85" s="54">
        <f t="shared" si="29"/>
        <v>1700000</v>
      </c>
      <c r="U85" s="8">
        <f t="shared" si="19"/>
        <v>99.227272727272734</v>
      </c>
    </row>
    <row r="86" spans="1:24" s="13" customFormat="1" ht="42" customHeight="1" x14ac:dyDescent="0.35">
      <c r="A86" s="28"/>
      <c r="B86" s="52"/>
      <c r="C86" s="50" t="s">
        <v>32</v>
      </c>
      <c r="D86" s="224" t="s">
        <v>109</v>
      </c>
      <c r="E86" s="225"/>
      <c r="F86" s="60">
        <v>150000000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35">
        <f>144540000+500000</f>
        <v>145040000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15">
        <f t="shared" si="25"/>
        <v>145040000</v>
      </c>
      <c r="T86" s="54">
        <f t="shared" si="29"/>
        <v>4960000</v>
      </c>
      <c r="U86" s="8">
        <f t="shared" si="19"/>
        <v>96.693333333333328</v>
      </c>
    </row>
    <row r="87" spans="1:24" s="13" customFormat="1" ht="42" customHeight="1" x14ac:dyDescent="0.35">
      <c r="A87" s="28"/>
      <c r="B87" s="52"/>
      <c r="C87" s="50" t="s">
        <v>33</v>
      </c>
      <c r="D87" s="212" t="s">
        <v>41</v>
      </c>
      <c r="E87" s="213"/>
      <c r="F87" s="58">
        <v>72000000</v>
      </c>
      <c r="G87" s="11">
        <v>0</v>
      </c>
      <c r="H87" s="35">
        <v>9000000</v>
      </c>
      <c r="I87" s="35">
        <v>9000000</v>
      </c>
      <c r="J87" s="35">
        <v>6000000</v>
      </c>
      <c r="K87" s="35">
        <v>6000000</v>
      </c>
      <c r="L87" s="35">
        <v>6000000</v>
      </c>
      <c r="M87" s="35">
        <v>6000000</v>
      </c>
      <c r="N87" s="35">
        <v>6000000</v>
      </c>
      <c r="O87" s="35">
        <v>6000000</v>
      </c>
      <c r="P87" s="35">
        <v>6000000</v>
      </c>
      <c r="Q87" s="35">
        <v>6000000</v>
      </c>
      <c r="R87" s="35">
        <v>6000000</v>
      </c>
      <c r="S87" s="15">
        <f t="shared" si="25"/>
        <v>72000000</v>
      </c>
      <c r="T87" s="54">
        <f t="shared" si="29"/>
        <v>0</v>
      </c>
      <c r="U87" s="8">
        <f t="shared" si="19"/>
        <v>100</v>
      </c>
    </row>
    <row r="88" spans="1:24" s="13" customFormat="1" ht="42" customHeight="1" x14ac:dyDescent="0.35">
      <c r="A88" s="28"/>
      <c r="B88" s="52"/>
      <c r="C88" s="50" t="s">
        <v>34</v>
      </c>
      <c r="D88" s="212" t="s">
        <v>110</v>
      </c>
      <c r="E88" s="213"/>
      <c r="F88" s="58">
        <v>7833841000</v>
      </c>
      <c r="G88" s="35">
        <v>437292484</v>
      </c>
      <c r="H88" s="35">
        <v>457879640</v>
      </c>
      <c r="I88" s="35">
        <v>1650762786</v>
      </c>
      <c r="J88" s="35">
        <v>466816984</v>
      </c>
      <c r="K88" s="35">
        <f>467603660+11395000</f>
        <v>478998660</v>
      </c>
      <c r="L88" s="35">
        <f>451368130+1540000</f>
        <v>452908130</v>
      </c>
      <c r="M88" s="35">
        <v>449672133</v>
      </c>
      <c r="N88" s="35">
        <f>570928281</f>
        <v>570928281</v>
      </c>
      <c r="O88" s="35">
        <f>366355946+23800000</f>
        <v>390155946</v>
      </c>
      <c r="P88" s="35">
        <f>469870645+7350000</f>
        <v>477220645</v>
      </c>
      <c r="Q88" s="35">
        <f>476339742+5040000</f>
        <v>481379742</v>
      </c>
      <c r="R88" s="35">
        <f>996754638+3759000</f>
        <v>1000513638</v>
      </c>
      <c r="S88" s="15">
        <f t="shared" si="25"/>
        <v>7314529069</v>
      </c>
      <c r="T88" s="54">
        <f t="shared" si="29"/>
        <v>519311931</v>
      </c>
      <c r="U88" s="8">
        <f t="shared" si="19"/>
        <v>93.37091560832036</v>
      </c>
    </row>
    <row r="89" spans="1:24" s="13" customFormat="1" ht="42" customHeight="1" x14ac:dyDescent="0.35">
      <c r="A89" s="28"/>
      <c r="B89" s="52"/>
      <c r="C89" s="50" t="s">
        <v>35</v>
      </c>
      <c r="D89" s="212" t="s">
        <v>122</v>
      </c>
      <c r="E89" s="213"/>
      <c r="F89" s="58">
        <v>1000000000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f>965495000+5720000</f>
        <v>971215000</v>
      </c>
      <c r="S89" s="15">
        <f t="shared" si="25"/>
        <v>971215000</v>
      </c>
      <c r="T89" s="54">
        <f t="shared" si="29"/>
        <v>28785000</v>
      </c>
      <c r="U89" s="8">
        <f t="shared" si="19"/>
        <v>97.121500000000012</v>
      </c>
    </row>
    <row r="90" spans="1:24" s="13" customFormat="1" ht="42" customHeight="1" x14ac:dyDescent="0.35">
      <c r="A90" s="28"/>
      <c r="B90" s="52"/>
      <c r="C90" s="50" t="s">
        <v>36</v>
      </c>
      <c r="D90" s="212" t="s">
        <v>111</v>
      </c>
      <c r="E90" s="213"/>
      <c r="F90" s="60">
        <v>408280000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35">
        <f>401960000+4070000</f>
        <v>406030000</v>
      </c>
      <c r="S90" s="15">
        <f t="shared" si="25"/>
        <v>406030000</v>
      </c>
      <c r="T90" s="54">
        <f t="shared" si="29"/>
        <v>2250000</v>
      </c>
      <c r="U90" s="8">
        <f t="shared" si="19"/>
        <v>99.448907612422843</v>
      </c>
    </row>
    <row r="91" spans="1:24" s="32" customFormat="1" ht="18" customHeight="1" x14ac:dyDescent="0.35">
      <c r="A91" s="155"/>
      <c r="B91" s="144"/>
      <c r="C91" s="144"/>
      <c r="D91" s="144"/>
      <c r="E91" s="144"/>
      <c r="F91" s="14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54" t="s">
        <v>160</v>
      </c>
      <c r="T91" s="254"/>
      <c r="U91" s="254"/>
      <c r="V91" s="53"/>
      <c r="W91" s="53"/>
      <c r="X91" s="53"/>
    </row>
    <row r="92" spans="1:24" s="33" customFormat="1" ht="20.25" customHeight="1" x14ac:dyDescent="0.3">
      <c r="A92" s="209" t="s">
        <v>106</v>
      </c>
      <c r="B92" s="209"/>
      <c r="C92" s="209"/>
      <c r="D92" s="209"/>
      <c r="E92" s="209"/>
      <c r="F92" s="55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09" t="s">
        <v>51</v>
      </c>
      <c r="T92" s="209"/>
      <c r="U92" s="209"/>
    </row>
    <row r="93" spans="1:24" s="4" customFormat="1" ht="16.5" customHeight="1" x14ac:dyDescent="0.35">
      <c r="A93" s="209" t="s">
        <v>9</v>
      </c>
      <c r="B93" s="209"/>
      <c r="C93" s="209"/>
      <c r="D93" s="209"/>
      <c r="E93" s="209"/>
      <c r="F93" s="144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52" t="s">
        <v>44</v>
      </c>
      <c r="T93" s="252"/>
      <c r="U93" s="252"/>
    </row>
    <row r="94" spans="1:24" s="4" customFormat="1" ht="16.5" customHeight="1" x14ac:dyDescent="0.35">
      <c r="A94" s="144"/>
      <c r="B94" s="144"/>
      <c r="C94" s="144"/>
      <c r="D94" s="144"/>
      <c r="E94" s="144"/>
      <c r="F94" s="144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154"/>
      <c r="T94" s="154"/>
      <c r="U94" s="154"/>
    </row>
    <row r="95" spans="1:24" s="4" customFormat="1" ht="15" customHeight="1" x14ac:dyDescent="0.35">
      <c r="A95" s="29"/>
      <c r="B95" s="29"/>
      <c r="C95" s="144"/>
      <c r="D95" s="29"/>
      <c r="E95" s="29"/>
      <c r="F95" s="144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8"/>
      <c r="T95" s="18"/>
      <c r="U95" s="145"/>
    </row>
    <row r="96" spans="1:24" s="4" customFormat="1" ht="36" customHeight="1" x14ac:dyDescent="0.35">
      <c r="A96" s="210" t="s">
        <v>124</v>
      </c>
      <c r="B96" s="210"/>
      <c r="C96" s="210"/>
      <c r="D96" s="210"/>
      <c r="E96" s="210"/>
      <c r="F96" s="155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0" t="s">
        <v>45</v>
      </c>
      <c r="T96" s="210"/>
      <c r="U96" s="210"/>
    </row>
    <row r="97" spans="1:21" s="4" customFormat="1" ht="19.5" customHeight="1" x14ac:dyDescent="0.35">
      <c r="A97" s="211" t="s">
        <v>125</v>
      </c>
      <c r="B97" s="211"/>
      <c r="C97" s="211"/>
      <c r="D97" s="211"/>
      <c r="E97" s="211"/>
      <c r="F97" s="17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53" t="s">
        <v>46</v>
      </c>
      <c r="T97" s="253"/>
      <c r="U97" s="253"/>
    </row>
    <row r="98" spans="1:21" s="14" customFormat="1" ht="42.75" customHeight="1" x14ac:dyDescent="0.35">
      <c r="A98" s="1"/>
      <c r="B98" s="1"/>
      <c r="C98" s="1"/>
      <c r="D98" s="1"/>
      <c r="E98" s="1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69"/>
      <c r="U98" s="1"/>
    </row>
    <row r="99" spans="1:21" s="4" customFormat="1" ht="62.25" customHeight="1" x14ac:dyDescent="0.35">
      <c r="A99" s="1"/>
      <c r="B99" s="1"/>
      <c r="C99" s="1"/>
      <c r="D99" s="1"/>
      <c r="E99" s="1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69"/>
      <c r="U99" s="1"/>
    </row>
    <row r="100" spans="1:21" s="4" customFormat="1" ht="78.75" customHeight="1" x14ac:dyDescent="0.35">
      <c r="A100" s="1"/>
      <c r="B100" s="1"/>
      <c r="C100" s="1"/>
      <c r="D100" s="1"/>
      <c r="E100" s="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69"/>
      <c r="U100" s="1"/>
    </row>
    <row r="101" spans="1:21" s="13" customFormat="1" ht="74.25" customHeight="1" x14ac:dyDescent="0.35">
      <c r="A101" s="1"/>
      <c r="B101" s="1"/>
      <c r="C101" s="1"/>
      <c r="D101" s="1"/>
      <c r="E101" s="1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69"/>
      <c r="U101" s="1"/>
    </row>
    <row r="102" spans="1:21" s="13" customFormat="1" ht="78.75" customHeight="1" x14ac:dyDescent="0.35">
      <c r="A102" s="1"/>
      <c r="B102" s="1"/>
      <c r="C102" s="1"/>
      <c r="D102" s="1"/>
      <c r="E102" s="1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69"/>
      <c r="U102" s="1"/>
    </row>
    <row r="103" spans="1:21" s="13" customFormat="1" ht="39" customHeight="1" x14ac:dyDescent="0.35">
      <c r="A103" s="1"/>
      <c r="B103" s="1"/>
      <c r="C103" s="1"/>
      <c r="D103" s="1"/>
      <c r="E103" s="1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69"/>
      <c r="U103" s="1"/>
    </row>
    <row r="104" spans="1:21" x14ac:dyDescent="0.3">
      <c r="T104" s="69"/>
      <c r="U104" s="1"/>
    </row>
    <row r="105" spans="1:21" x14ac:dyDescent="0.3">
      <c r="T105" s="69"/>
      <c r="U105" s="1"/>
    </row>
    <row r="106" spans="1:21" x14ac:dyDescent="0.3">
      <c r="T106" s="69"/>
      <c r="U106" s="1"/>
    </row>
    <row r="107" spans="1:21" x14ac:dyDescent="0.3">
      <c r="T107" s="69"/>
      <c r="U107" s="1"/>
    </row>
    <row r="108" spans="1:21" x14ac:dyDescent="0.3">
      <c r="T108" s="69"/>
      <c r="U108" s="1"/>
    </row>
    <row r="109" spans="1:21" x14ac:dyDescent="0.3">
      <c r="T109" s="69"/>
      <c r="U109" s="1"/>
    </row>
    <row r="110" spans="1:21" x14ac:dyDescent="0.3">
      <c r="T110" s="69"/>
      <c r="U110" s="1"/>
    </row>
    <row r="111" spans="1:21" ht="18.75" customHeight="1" x14ac:dyDescent="0.3">
      <c r="T111" s="69"/>
      <c r="U111" s="1"/>
    </row>
    <row r="112" spans="1:21" ht="14.25" hidden="1" customHeight="1" x14ac:dyDescent="0.3">
      <c r="T112" s="69"/>
      <c r="U112" s="1"/>
    </row>
    <row r="113" spans="20:21" x14ac:dyDescent="0.3">
      <c r="T113" s="69"/>
      <c r="U113" s="1"/>
    </row>
    <row r="114" spans="20:21" x14ac:dyDescent="0.3">
      <c r="T114" s="69"/>
      <c r="U114" s="1"/>
    </row>
    <row r="115" spans="20:21" x14ac:dyDescent="0.3">
      <c r="T115" s="69"/>
      <c r="U115" s="1"/>
    </row>
    <row r="116" spans="20:21" x14ac:dyDescent="0.3">
      <c r="T116" s="69"/>
      <c r="U116" s="1"/>
    </row>
    <row r="117" spans="20:21" x14ac:dyDescent="0.3">
      <c r="T117" s="69"/>
      <c r="U117" s="1"/>
    </row>
    <row r="118" spans="20:21" x14ac:dyDescent="0.3">
      <c r="T118" s="69"/>
      <c r="U118" s="1"/>
    </row>
    <row r="119" spans="20:21" x14ac:dyDescent="0.3">
      <c r="T119" s="69"/>
      <c r="U119" s="1"/>
    </row>
    <row r="120" spans="20:21" x14ac:dyDescent="0.3">
      <c r="T120" s="69"/>
      <c r="U120" s="1"/>
    </row>
    <row r="121" spans="20:21" x14ac:dyDescent="0.3">
      <c r="T121" s="69"/>
      <c r="U121" s="1"/>
    </row>
    <row r="122" spans="20:21" x14ac:dyDescent="0.3">
      <c r="T122" s="69"/>
      <c r="U122" s="1"/>
    </row>
    <row r="123" spans="20:21" x14ac:dyDescent="0.3">
      <c r="T123" s="69"/>
      <c r="U123" s="1"/>
    </row>
    <row r="124" spans="20:21" x14ac:dyDescent="0.3">
      <c r="T124" s="69"/>
      <c r="U124" s="1"/>
    </row>
    <row r="125" spans="20:21" x14ac:dyDescent="0.3">
      <c r="T125" s="69"/>
      <c r="U125" s="1"/>
    </row>
    <row r="126" spans="20:21" x14ac:dyDescent="0.3">
      <c r="T126" s="69"/>
      <c r="U126" s="1"/>
    </row>
    <row r="127" spans="20:21" x14ac:dyDescent="0.3">
      <c r="T127" s="69"/>
      <c r="U127" s="1"/>
    </row>
    <row r="128" spans="20:21" x14ac:dyDescent="0.3">
      <c r="T128" s="69"/>
      <c r="U128" s="1"/>
    </row>
    <row r="129" spans="20:21" x14ac:dyDescent="0.3">
      <c r="T129" s="69"/>
      <c r="U129" s="1"/>
    </row>
    <row r="130" spans="20:21" x14ac:dyDescent="0.3">
      <c r="T130" s="69"/>
      <c r="U130" s="1"/>
    </row>
    <row r="131" spans="20:21" x14ac:dyDescent="0.3">
      <c r="T131" s="69"/>
      <c r="U131" s="1"/>
    </row>
    <row r="132" spans="20:21" x14ac:dyDescent="0.3">
      <c r="T132" s="69"/>
      <c r="U132" s="1"/>
    </row>
    <row r="133" spans="20:21" x14ac:dyDescent="0.3">
      <c r="T133" s="69"/>
      <c r="U133" s="1"/>
    </row>
    <row r="134" spans="20:21" x14ac:dyDescent="0.3">
      <c r="T134" s="69"/>
      <c r="U134" s="1"/>
    </row>
    <row r="135" spans="20:21" x14ac:dyDescent="0.3">
      <c r="T135" s="69"/>
      <c r="U135" s="1"/>
    </row>
    <row r="136" spans="20:21" x14ac:dyDescent="0.3">
      <c r="T136" s="69"/>
      <c r="U136" s="1"/>
    </row>
    <row r="137" spans="20:21" x14ac:dyDescent="0.3">
      <c r="T137" s="69"/>
      <c r="U137" s="1"/>
    </row>
    <row r="138" spans="20:21" x14ac:dyDescent="0.3">
      <c r="T138" s="69"/>
      <c r="U138" s="1"/>
    </row>
    <row r="139" spans="20:21" x14ac:dyDescent="0.3">
      <c r="T139" s="69"/>
      <c r="U139" s="1"/>
    </row>
    <row r="140" spans="20:21" x14ac:dyDescent="0.3">
      <c r="T140" s="69"/>
      <c r="U140" s="1"/>
    </row>
    <row r="141" spans="20:21" x14ac:dyDescent="0.3">
      <c r="T141" s="69"/>
      <c r="U141" s="1"/>
    </row>
    <row r="142" spans="20:21" x14ac:dyDescent="0.3">
      <c r="T142" s="69"/>
      <c r="U142" s="1"/>
    </row>
    <row r="143" spans="20:21" x14ac:dyDescent="0.3">
      <c r="T143" s="69"/>
      <c r="U143" s="1"/>
    </row>
    <row r="144" spans="20:21" x14ac:dyDescent="0.3">
      <c r="T144" s="69"/>
      <c r="U144" s="1"/>
    </row>
    <row r="145" spans="20:21" x14ac:dyDescent="0.3">
      <c r="T145" s="69"/>
      <c r="U145" s="1"/>
    </row>
    <row r="146" spans="20:21" x14ac:dyDescent="0.3">
      <c r="T146" s="69"/>
      <c r="U146" s="1"/>
    </row>
    <row r="147" spans="20:21" x14ac:dyDescent="0.3">
      <c r="T147" s="69"/>
      <c r="U147" s="1"/>
    </row>
    <row r="148" spans="20:21" x14ac:dyDescent="0.3">
      <c r="T148" s="69"/>
      <c r="U148" s="1"/>
    </row>
    <row r="149" spans="20:21" x14ac:dyDescent="0.3">
      <c r="T149" s="69"/>
      <c r="U149" s="1"/>
    </row>
    <row r="150" spans="20:21" x14ac:dyDescent="0.3">
      <c r="T150" s="69"/>
      <c r="U150" s="1"/>
    </row>
    <row r="151" spans="20:21" x14ac:dyDescent="0.3">
      <c r="T151" s="69"/>
      <c r="U151" s="1"/>
    </row>
    <row r="152" spans="20:21" x14ac:dyDescent="0.3">
      <c r="U152" s="1"/>
    </row>
    <row r="175" spans="1:21" s="2" customFormat="1" x14ac:dyDescent="0.3">
      <c r="A175" s="1"/>
      <c r="B175" s="1"/>
      <c r="C175" s="1"/>
      <c r="D175" s="1"/>
      <c r="E175" s="1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3"/>
    </row>
    <row r="176" spans="1:21" s="2" customFormat="1" x14ac:dyDescent="0.3">
      <c r="A176" s="1"/>
      <c r="B176" s="1"/>
      <c r="C176" s="1"/>
      <c r="D176" s="1"/>
      <c r="E176" s="1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3"/>
    </row>
  </sheetData>
  <mergeCells count="76">
    <mergeCell ref="D13:E13"/>
    <mergeCell ref="A1:U1"/>
    <mergeCell ref="A2:U2"/>
    <mergeCell ref="A3:U3"/>
    <mergeCell ref="E5:U5"/>
    <mergeCell ref="A6:A8"/>
    <mergeCell ref="B6:E8"/>
    <mergeCell ref="F6:F8"/>
    <mergeCell ref="G6:U6"/>
    <mergeCell ref="G7:S7"/>
    <mergeCell ref="T7:T8"/>
    <mergeCell ref="U7:U8"/>
    <mergeCell ref="B9:E9"/>
    <mergeCell ref="B10:E10"/>
    <mergeCell ref="B11:E11"/>
    <mergeCell ref="C12:E12"/>
    <mergeCell ref="D51:E51"/>
    <mergeCell ref="D15:E15"/>
    <mergeCell ref="D18:E18"/>
    <mergeCell ref="B25:E25"/>
    <mergeCell ref="B26:E26"/>
    <mergeCell ref="C27:E27"/>
    <mergeCell ref="D28:E28"/>
    <mergeCell ref="D38:E38"/>
    <mergeCell ref="D41:E41"/>
    <mergeCell ref="B48:E48"/>
    <mergeCell ref="B49:E49"/>
    <mergeCell ref="D50:E50"/>
    <mergeCell ref="D63:E63"/>
    <mergeCell ref="D52:E52"/>
    <mergeCell ref="D53:E53"/>
    <mergeCell ref="D54:E54"/>
    <mergeCell ref="D55:E55"/>
    <mergeCell ref="D56:E56"/>
    <mergeCell ref="D57:E57"/>
    <mergeCell ref="B58:E58"/>
    <mergeCell ref="D59:E59"/>
    <mergeCell ref="D60:E60"/>
    <mergeCell ref="C61:E61"/>
    <mergeCell ref="D62:E62"/>
    <mergeCell ref="B75:E75"/>
    <mergeCell ref="D64:E64"/>
    <mergeCell ref="B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87:E87"/>
    <mergeCell ref="D76:E76"/>
    <mergeCell ref="D77:E77"/>
    <mergeCell ref="D78:E78"/>
    <mergeCell ref="B79:E79"/>
    <mergeCell ref="D80:E80"/>
    <mergeCell ref="D81:E81"/>
    <mergeCell ref="D82:E82"/>
    <mergeCell ref="B83:E83"/>
    <mergeCell ref="D84:E84"/>
    <mergeCell ref="D85:E85"/>
    <mergeCell ref="D86:E86"/>
    <mergeCell ref="D88:E88"/>
    <mergeCell ref="D89:E89"/>
    <mergeCell ref="D90:E90"/>
    <mergeCell ref="S91:U91"/>
    <mergeCell ref="A92:E92"/>
    <mergeCell ref="S92:U92"/>
    <mergeCell ref="A93:E93"/>
    <mergeCell ref="S93:U93"/>
    <mergeCell ref="A96:E96"/>
    <mergeCell ref="S96:U96"/>
    <mergeCell ref="A97:E97"/>
    <mergeCell ref="S97:U97"/>
  </mergeCells>
  <pageMargins left="0.39370078740157483" right="0" top="0.39370078740157483" bottom="0" header="0" footer="0"/>
  <pageSetup paperSize="5" scale="46" orientation="landscape" r:id="rId1"/>
  <headerFooter scaleWithDoc="0" alignWithMargins="0"/>
  <rowBreaks count="4" manualBreakCount="4">
    <brk id="24" max="24" man="1"/>
    <brk id="47" max="24" man="1"/>
    <brk id="62" max="24" man="1"/>
    <brk id="7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des3</vt:lpstr>
      <vt:lpstr>des2</vt:lpstr>
      <vt:lpstr>des (2)</vt:lpstr>
      <vt:lpstr>'des (2)'!Print_Area</vt:lpstr>
      <vt:lpstr>'des2'!Print_Area</vt:lpstr>
      <vt:lpstr>'des3'!Print_Area</vt:lpstr>
      <vt:lpstr>'des (2)'!Print_Titles</vt:lpstr>
      <vt:lpstr>'des2'!Print_Titles</vt:lpstr>
      <vt:lpstr>'des3'!Print_Titles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dishu</cp:lastModifiedBy>
  <cp:lastPrinted>2020-01-09T04:57:57Z</cp:lastPrinted>
  <dcterms:created xsi:type="dcterms:W3CDTF">2010-04-22T15:11:37Z</dcterms:created>
  <dcterms:modified xsi:type="dcterms:W3CDTF">2020-07-27T03:22:35Z</dcterms:modified>
</cp:coreProperties>
</file>