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bpkad\Documents\DATA E\EVALUASI RENJA\EVALUASI RENJA 2018\"/>
    </mc:Choice>
  </mc:AlternateContent>
  <xr:revisionPtr revIDLastSave="0" documentId="13_ncr:1_{DAA0A545-B4CD-4CB3-BFD4-9F9CB6243AFD}" xr6:coauthVersionLast="34" xr6:coauthVersionMax="34" xr10:uidLastSave="{00000000-0000-0000-0000-000000000000}"/>
  <bookViews>
    <workbookView xWindow="9090" yWindow="60" windowWidth="9660" windowHeight="8460" xr2:uid="{00000000-000D-0000-FFFF-FFFF00000000}"/>
  </bookViews>
  <sheets>
    <sheet name="TW I" sheetId="18" r:id="rId1"/>
    <sheet name="DAK" sheetId="19" r:id="rId2"/>
    <sheet name="BANTUAN KEUANGAN" sheetId="20" r:id="rId3"/>
    <sheet name="TUGAS PEMBANTUAN" sheetId="21" r:id="rId4"/>
    <sheet name="TW II" sheetId="22" r:id="rId5"/>
  </sheets>
  <definedNames>
    <definedName name="_xlnm.Print_Area" localSheetId="0">'TW I'!$A$1:$AI$146</definedName>
    <definedName name="_xlnm.Print_Area" localSheetId="4">'TW II'!$A$1:$AI$146</definedName>
    <definedName name="_xlnm.Print_Titles" localSheetId="0">'TW I'!$9:$13</definedName>
    <definedName name="_xlnm.Print_Titles" localSheetId="4">'TW II'!$9:$13</definedName>
  </definedNames>
  <calcPr calcId="179021"/>
</workbook>
</file>

<file path=xl/calcChain.xml><?xml version="1.0" encoding="utf-8"?>
<calcChain xmlns="http://schemas.openxmlformats.org/spreadsheetml/2006/main">
  <c r="X38" i="18" l="1"/>
  <c r="W46" i="18" l="1"/>
  <c r="W40" i="18"/>
  <c r="X39" i="18"/>
  <c r="Z39" i="18"/>
  <c r="R38" i="18"/>
  <c r="R36" i="18"/>
  <c r="W14" i="18"/>
  <c r="R28" i="18"/>
  <c r="X28" i="18" s="1"/>
  <c r="R27" i="18"/>
  <c r="R25" i="18"/>
  <c r="R24" i="18"/>
  <c r="R23" i="18"/>
  <c r="R17" i="18"/>
  <c r="R16" i="18"/>
  <c r="X123" i="22"/>
  <c r="Z123" i="22"/>
  <c r="W123" i="22"/>
  <c r="Y123" i="22" s="1"/>
  <c r="L123" i="22"/>
  <c r="AB123" i="22"/>
  <c r="AD123" i="22" s="1"/>
  <c r="K123" i="22"/>
  <c r="AA123" i="22"/>
  <c r="AC123" i="22"/>
  <c r="T122" i="22"/>
  <c r="X122" i="22" s="1"/>
  <c r="N122" i="22"/>
  <c r="W122" i="22"/>
  <c r="Y122" i="22" s="1"/>
  <c r="L122" i="22"/>
  <c r="L41" i="22"/>
  <c r="L42" i="22"/>
  <c r="L15" i="22"/>
  <c r="L16" i="22"/>
  <c r="L17" i="22"/>
  <c r="L18" i="22"/>
  <c r="L19" i="22"/>
  <c r="L20" i="22"/>
  <c r="AB20" i="22" s="1"/>
  <c r="L21" i="22"/>
  <c r="L22" i="22"/>
  <c r="L23" i="22"/>
  <c r="L24" i="22"/>
  <c r="L25" i="22"/>
  <c r="L26" i="22"/>
  <c r="L27" i="22"/>
  <c r="L28" i="22"/>
  <c r="AB28" i="22" s="1"/>
  <c r="K122" i="22"/>
  <c r="AA122" i="22"/>
  <c r="AC122" i="22" s="1"/>
  <c r="I122" i="22"/>
  <c r="J122" i="22"/>
  <c r="J56" i="22"/>
  <c r="J128" i="22" s="1"/>
  <c r="J47" i="22"/>
  <c r="J44" i="22"/>
  <c r="J40" i="22"/>
  <c r="J29" i="22"/>
  <c r="J14" i="22"/>
  <c r="W121" i="22"/>
  <c r="W120" i="22"/>
  <c r="W119" i="22"/>
  <c r="X118" i="22"/>
  <c r="AB118" i="22" s="1"/>
  <c r="AD118" i="22"/>
  <c r="W118" i="22"/>
  <c r="AA118" i="22"/>
  <c r="AC118" i="22" s="1"/>
  <c r="X117" i="22"/>
  <c r="Z117" i="22" s="1"/>
  <c r="W117" i="22"/>
  <c r="K117" i="22"/>
  <c r="AA117" i="22"/>
  <c r="AC117" i="22" s="1"/>
  <c r="L117" i="22"/>
  <c r="W116" i="22"/>
  <c r="AA116" i="22"/>
  <c r="AC116" i="22" s="1"/>
  <c r="Y116" i="22"/>
  <c r="X116" i="22"/>
  <c r="AB116" i="22"/>
  <c r="AD116" i="22" s="1"/>
  <c r="W115" i="22"/>
  <c r="Y115" i="22" s="1"/>
  <c r="X115" i="22"/>
  <c r="L115" i="22"/>
  <c r="K115" i="22"/>
  <c r="AA115" i="22" s="1"/>
  <c r="AC115" i="22" s="1"/>
  <c r="X114" i="22"/>
  <c r="AB114" i="22"/>
  <c r="AD114" i="22" s="1"/>
  <c r="W114" i="22"/>
  <c r="Y114" i="22" s="1"/>
  <c r="W113" i="22"/>
  <c r="Y113" i="22" s="1"/>
  <c r="X113" i="22"/>
  <c r="AB113" i="22" s="1"/>
  <c r="AD113" i="22"/>
  <c r="W112" i="22"/>
  <c r="Y112" i="22"/>
  <c r="X112" i="22"/>
  <c r="L112" i="22"/>
  <c r="AB112" i="22" s="1"/>
  <c r="AD112" i="22" s="1"/>
  <c r="K112" i="22"/>
  <c r="AA112" i="22"/>
  <c r="AC112" i="22" s="1"/>
  <c r="AB111" i="22"/>
  <c r="AD111" i="22" s="1"/>
  <c r="W111" i="22"/>
  <c r="W110" i="22"/>
  <c r="X110" i="22"/>
  <c r="L110" i="22"/>
  <c r="AB110" i="22"/>
  <c r="AD110" i="22" s="1"/>
  <c r="X109" i="22"/>
  <c r="Z109" i="22" s="1"/>
  <c r="W109" i="22"/>
  <c r="Y109" i="22" s="1"/>
  <c r="AA109" i="22"/>
  <c r="AC109" i="22" s="1"/>
  <c r="L109" i="22"/>
  <c r="AB109" i="22" s="1"/>
  <c r="AD109" i="22" s="1"/>
  <c r="X108" i="22"/>
  <c r="Z108" i="22"/>
  <c r="W108" i="22"/>
  <c r="Y108" i="22"/>
  <c r="L108" i="22"/>
  <c r="AB108" i="22"/>
  <c r="AD108" i="22" s="1"/>
  <c r="K108" i="22"/>
  <c r="W107" i="22"/>
  <c r="Y107" i="22"/>
  <c r="X107" i="22"/>
  <c r="L107" i="22"/>
  <c r="AB107" i="22" s="1"/>
  <c r="AD107" i="22" s="1"/>
  <c r="K107" i="22"/>
  <c r="AA107" i="22"/>
  <c r="AC107" i="22" s="1"/>
  <c r="X106" i="22"/>
  <c r="Z106" i="22" s="1"/>
  <c r="W106" i="22"/>
  <c r="L106" i="22"/>
  <c r="AB106" i="22" s="1"/>
  <c r="AD106" i="22"/>
  <c r="K106" i="22"/>
  <c r="W105" i="22"/>
  <c r="Y105" i="22" s="1"/>
  <c r="X105" i="22"/>
  <c r="AB105" i="22" s="1"/>
  <c r="AD105" i="22" s="1"/>
  <c r="L105" i="22"/>
  <c r="AA105" i="22"/>
  <c r="AC105" i="22" s="1"/>
  <c r="X104" i="22"/>
  <c r="Z104" i="22" s="1"/>
  <c r="W104" i="22"/>
  <c r="L104" i="22"/>
  <c r="AB104" i="22" s="1"/>
  <c r="AD104" i="22" s="1"/>
  <c r="K104" i="22"/>
  <c r="X103" i="22"/>
  <c r="Z103" i="22" s="1"/>
  <c r="W103" i="22"/>
  <c r="AA103" i="22" s="1"/>
  <c r="AC103" i="22" s="1"/>
  <c r="L103" i="22"/>
  <c r="W101" i="22"/>
  <c r="Y101" i="22" s="1"/>
  <c r="X101" i="22"/>
  <c r="L101" i="22"/>
  <c r="AA101" i="22"/>
  <c r="AC101" i="22" s="1"/>
  <c r="AC100" i="22"/>
  <c r="Y100" i="22"/>
  <c r="X100" i="22"/>
  <c r="Z100" i="22" s="1"/>
  <c r="L100" i="22"/>
  <c r="AB100" i="22" s="1"/>
  <c r="AD100" i="22"/>
  <c r="AC99" i="22"/>
  <c r="Y99" i="22"/>
  <c r="X99" i="22"/>
  <c r="Z99" i="22"/>
  <c r="W99" i="22"/>
  <c r="L99" i="22"/>
  <c r="W97" i="22"/>
  <c r="Y97" i="22"/>
  <c r="X97" i="22"/>
  <c r="L97" i="22"/>
  <c r="AB97" i="22" s="1"/>
  <c r="AD97" i="22"/>
  <c r="AA97" i="22"/>
  <c r="AC97" i="22"/>
  <c r="X96" i="22"/>
  <c r="Z96" i="22"/>
  <c r="W96" i="22"/>
  <c r="AA96" i="22" s="1"/>
  <c r="AC96" i="22" s="1"/>
  <c r="Y96" i="22"/>
  <c r="L96" i="22"/>
  <c r="AB96" i="22"/>
  <c r="AD96" i="22" s="1"/>
  <c r="X95" i="22"/>
  <c r="Z95" i="22" s="1"/>
  <c r="W95" i="22"/>
  <c r="Y95" i="22" s="1"/>
  <c r="L95" i="22"/>
  <c r="X94" i="22"/>
  <c r="Z94" i="22"/>
  <c r="W94" i="22"/>
  <c r="K94" i="22"/>
  <c r="AA94" i="22" s="1"/>
  <c r="AC94" i="22"/>
  <c r="L94" i="22"/>
  <c r="W93" i="22"/>
  <c r="Y93" i="22" s="1"/>
  <c r="X93" i="22"/>
  <c r="AB93" i="22" s="1"/>
  <c r="AD93" i="22"/>
  <c r="X92" i="22"/>
  <c r="AB92" i="22"/>
  <c r="AD92" i="22" s="1"/>
  <c r="W92" i="22"/>
  <c r="X91" i="22"/>
  <c r="Z91" i="22"/>
  <c r="W91" i="22"/>
  <c r="AA91" i="22"/>
  <c r="AC91" i="22" s="1"/>
  <c r="L91" i="22"/>
  <c r="AB91" i="22" s="1"/>
  <c r="AD91" i="22" s="1"/>
  <c r="W90" i="22"/>
  <c r="Y90" i="22"/>
  <c r="X90" i="22"/>
  <c r="L90" i="22"/>
  <c r="AB90" i="22" s="1"/>
  <c r="AD90" i="22" s="1"/>
  <c r="AA90" i="22"/>
  <c r="AC90" i="22"/>
  <c r="X89" i="22"/>
  <c r="Z89" i="22"/>
  <c r="W89" i="22"/>
  <c r="Y89" i="22"/>
  <c r="AA89" i="22"/>
  <c r="AC89" i="22"/>
  <c r="L89" i="22"/>
  <c r="AB89" i="22"/>
  <c r="AD89" i="22" s="1"/>
  <c r="X88" i="22"/>
  <c r="Z88" i="22" s="1"/>
  <c r="W88" i="22"/>
  <c r="L88" i="22"/>
  <c r="AB88" i="22" s="1"/>
  <c r="AD88" i="22"/>
  <c r="X87" i="22"/>
  <c r="Z87" i="22"/>
  <c r="W87" i="22"/>
  <c r="AA87" i="22"/>
  <c r="AC87" i="22" s="1"/>
  <c r="L87" i="22"/>
  <c r="W86" i="22"/>
  <c r="Y86" i="22"/>
  <c r="X86" i="22"/>
  <c r="L86" i="22"/>
  <c r="AB86" i="22" s="1"/>
  <c r="AD86" i="22"/>
  <c r="AA86" i="22"/>
  <c r="AC86" i="22"/>
  <c r="X85" i="22"/>
  <c r="Z85" i="22"/>
  <c r="W85" i="22"/>
  <c r="Y85" i="22"/>
  <c r="AA85" i="22"/>
  <c r="AC85" i="22"/>
  <c r="L85" i="22"/>
  <c r="AB85" i="22"/>
  <c r="AD85" i="22" s="1"/>
  <c r="X84" i="22"/>
  <c r="Z84" i="22" s="1"/>
  <c r="W84" i="22"/>
  <c r="Y84" i="22" s="1"/>
  <c r="L84" i="22"/>
  <c r="X83" i="22"/>
  <c r="Z83" i="22"/>
  <c r="W83" i="22"/>
  <c r="AA83" i="22"/>
  <c r="AC83" i="22" s="1"/>
  <c r="L83" i="22"/>
  <c r="AB83" i="22" s="1"/>
  <c r="W82" i="22"/>
  <c r="Y82" i="22"/>
  <c r="X82" i="22"/>
  <c r="L82" i="22"/>
  <c r="AB82" i="22" s="1"/>
  <c r="AD82" i="22" s="1"/>
  <c r="AA82" i="22"/>
  <c r="AC82" i="22"/>
  <c r="X81" i="22"/>
  <c r="Z81" i="22"/>
  <c r="W81" i="22"/>
  <c r="AA81" i="22" s="1"/>
  <c r="AC81" i="22" s="1"/>
  <c r="Y81" i="22"/>
  <c r="L81" i="22"/>
  <c r="AB81" i="22"/>
  <c r="AD81" i="22" s="1"/>
  <c r="X80" i="22"/>
  <c r="Z80" i="22" s="1"/>
  <c r="W80" i="22"/>
  <c r="L80" i="22"/>
  <c r="AB80" i="22" s="1"/>
  <c r="AD80" i="22"/>
  <c r="X79" i="22"/>
  <c r="Z79" i="22"/>
  <c r="W79" i="22"/>
  <c r="AA79" i="22"/>
  <c r="AC79" i="22" s="1"/>
  <c r="L79" i="22"/>
  <c r="AB78" i="22"/>
  <c r="AD78" i="22"/>
  <c r="W78" i="22"/>
  <c r="AA78" i="22"/>
  <c r="AC78" i="22" s="1"/>
  <c r="X77" i="22"/>
  <c r="Z77" i="22" s="1"/>
  <c r="W77" i="22"/>
  <c r="Y77" i="22" s="1"/>
  <c r="L77" i="22"/>
  <c r="AB76" i="22"/>
  <c r="AD76" i="22"/>
  <c r="Z76" i="22"/>
  <c r="Y76" i="22"/>
  <c r="X75" i="22"/>
  <c r="Z75" i="22"/>
  <c r="W75" i="22"/>
  <c r="AA75" i="22"/>
  <c r="AC75" i="22" s="1"/>
  <c r="L75" i="22"/>
  <c r="AB75" i="22" s="1"/>
  <c r="W74" i="22"/>
  <c r="Y74" i="22"/>
  <c r="X74" i="22"/>
  <c r="AB74" i="22"/>
  <c r="AD74" i="22" s="1"/>
  <c r="AA74" i="22"/>
  <c r="AC74" i="22" s="1"/>
  <c r="W73" i="22"/>
  <c r="X73" i="22"/>
  <c r="L73" i="22"/>
  <c r="AB73" i="22"/>
  <c r="AD73" i="22" s="1"/>
  <c r="X72" i="22"/>
  <c r="Z72" i="22" s="1"/>
  <c r="W72" i="22"/>
  <c r="Y72" i="22" s="1"/>
  <c r="AA72" i="22"/>
  <c r="AC72" i="22" s="1"/>
  <c r="L72" i="22"/>
  <c r="AB72" i="22" s="1"/>
  <c r="AD72" i="22" s="1"/>
  <c r="X71" i="22"/>
  <c r="Z71" i="22"/>
  <c r="W71" i="22"/>
  <c r="Y71" i="22"/>
  <c r="L71" i="22"/>
  <c r="AB71" i="22"/>
  <c r="AD71" i="22" s="1"/>
  <c r="X70" i="22"/>
  <c r="W70" i="22"/>
  <c r="K70" i="22"/>
  <c r="AA70" i="22"/>
  <c r="AC70" i="22" s="1"/>
  <c r="L70" i="22"/>
  <c r="X69" i="22"/>
  <c r="Z69" i="22"/>
  <c r="W69" i="22"/>
  <c r="Y69" i="22"/>
  <c r="AA69" i="22"/>
  <c r="AC69" i="22"/>
  <c r="L69" i="22"/>
  <c r="AB69" i="22"/>
  <c r="AD69" i="22" s="1"/>
  <c r="X68" i="22"/>
  <c r="Z68" i="22" s="1"/>
  <c r="W68" i="22"/>
  <c r="Y68" i="22" s="1"/>
  <c r="L68" i="22"/>
  <c r="AB68" i="22" s="1"/>
  <c r="AD68" i="22" s="1"/>
  <c r="K68" i="22"/>
  <c r="W67" i="22"/>
  <c r="X67" i="22"/>
  <c r="L67" i="22"/>
  <c r="AB67" i="22"/>
  <c r="AD67" i="22" s="1"/>
  <c r="X66" i="22"/>
  <c r="Z66" i="22" s="1"/>
  <c r="W66" i="22"/>
  <c r="Y66" i="22" s="1"/>
  <c r="AA66" i="22"/>
  <c r="AC66" i="22" s="1"/>
  <c r="L66" i="22"/>
  <c r="AB66" i="22" s="1"/>
  <c r="AD66" i="22" s="1"/>
  <c r="X65" i="22"/>
  <c r="Z65" i="22"/>
  <c r="W65" i="22"/>
  <c r="Y65" i="22"/>
  <c r="L65" i="22"/>
  <c r="AB65" i="22"/>
  <c r="AD65" i="22" s="1"/>
  <c r="X64" i="22"/>
  <c r="Z64" i="22" s="1"/>
  <c r="W64" i="22"/>
  <c r="AA64" i="22" s="1"/>
  <c r="AC64" i="22"/>
  <c r="L64" i="22"/>
  <c r="AA63" i="22"/>
  <c r="AC63" i="22" s="1"/>
  <c r="Y63" i="22"/>
  <c r="X63" i="22"/>
  <c r="L63" i="22"/>
  <c r="AB63" i="22" s="1"/>
  <c r="AD63" i="22" s="1"/>
  <c r="W62" i="22"/>
  <c r="Y62" i="22"/>
  <c r="X62" i="22"/>
  <c r="L62" i="22"/>
  <c r="AB62" i="22" s="1"/>
  <c r="AD62" i="22" s="1"/>
  <c r="K62" i="22"/>
  <c r="AA62" i="22"/>
  <c r="AC62" i="22" s="1"/>
  <c r="W61" i="22"/>
  <c r="W60" i="22"/>
  <c r="AA60" i="22"/>
  <c r="AC60" i="22" s="1"/>
  <c r="W59" i="22"/>
  <c r="AA59" i="22" s="1"/>
  <c r="AC59" i="22" s="1"/>
  <c r="W58" i="22"/>
  <c r="AA58" i="22"/>
  <c r="AC58" i="22" s="1"/>
  <c r="W57" i="22"/>
  <c r="AA57" i="22" s="1"/>
  <c r="AC57" i="22" s="1"/>
  <c r="AA56" i="22"/>
  <c r="AC56" i="22"/>
  <c r="Y56" i="22"/>
  <c r="V56" i="22"/>
  <c r="T56" i="22"/>
  <c r="R56" i="22"/>
  <c r="R128" i="22" s="1"/>
  <c r="R47" i="22"/>
  <c r="R44" i="22"/>
  <c r="R29" i="22"/>
  <c r="R14" i="22"/>
  <c r="P56" i="22"/>
  <c r="N56" i="22"/>
  <c r="N47" i="22"/>
  <c r="N44" i="22"/>
  <c r="N40" i="22"/>
  <c r="N29" i="22"/>
  <c r="N14" i="22"/>
  <c r="X55" i="22"/>
  <c r="Z55" i="22" s="1"/>
  <c r="W55" i="22"/>
  <c r="K55" i="22"/>
  <c r="AA55" i="22"/>
  <c r="AC55" i="22" s="1"/>
  <c r="L55" i="22"/>
  <c r="AB55" i="22" s="1"/>
  <c r="AD55" i="22" s="1"/>
  <c r="X54" i="22"/>
  <c r="Z54" i="22"/>
  <c r="W54" i="22"/>
  <c r="Y54" i="22"/>
  <c r="L54" i="22"/>
  <c r="AB54" i="22"/>
  <c r="AD54" i="22" s="1"/>
  <c r="K54" i="22"/>
  <c r="AA54" i="22" s="1"/>
  <c r="AC54" i="22"/>
  <c r="X53" i="22"/>
  <c r="Z53" i="22"/>
  <c r="W53" i="22"/>
  <c r="K53" i="22"/>
  <c r="AA53" i="22" s="1"/>
  <c r="AC53" i="22" s="1"/>
  <c r="L53" i="22"/>
  <c r="X52" i="22"/>
  <c r="Z52" i="22" s="1"/>
  <c r="W52" i="22"/>
  <c r="L52" i="22"/>
  <c r="K52" i="22"/>
  <c r="X51" i="22"/>
  <c r="Z51" i="22" s="1"/>
  <c r="W51" i="22"/>
  <c r="K51" i="22"/>
  <c r="AA51" i="22"/>
  <c r="AC51" i="22" s="1"/>
  <c r="L51" i="22"/>
  <c r="AB51" i="22" s="1"/>
  <c r="AD51" i="22" s="1"/>
  <c r="X50" i="22"/>
  <c r="Z50" i="22"/>
  <c r="W50" i="22"/>
  <c r="Y50" i="22"/>
  <c r="L50" i="22"/>
  <c r="AB50" i="22"/>
  <c r="AD50" i="22" s="1"/>
  <c r="K50" i="22"/>
  <c r="AA50" i="22" s="1"/>
  <c r="AC50" i="22"/>
  <c r="X49" i="22"/>
  <c r="Z49" i="22"/>
  <c r="W49" i="22"/>
  <c r="K49" i="22"/>
  <c r="L49" i="22"/>
  <c r="X48" i="22"/>
  <c r="Z48" i="22" s="1"/>
  <c r="W48" i="22"/>
  <c r="Y48" i="22" s="1"/>
  <c r="L48" i="22"/>
  <c r="K48" i="22"/>
  <c r="V47" i="22"/>
  <c r="T47" i="22"/>
  <c r="P47" i="22"/>
  <c r="X47" i="22" s="1"/>
  <c r="Q47" i="22"/>
  <c r="W47" i="22" s="1"/>
  <c r="Y47" i="22" s="1"/>
  <c r="O47" i="22"/>
  <c r="I47" i="22"/>
  <c r="X46" i="22"/>
  <c r="Z46" i="22" s="1"/>
  <c r="Y46" i="22"/>
  <c r="L46" i="22"/>
  <c r="AB46" i="22"/>
  <c r="AD46" i="22" s="1"/>
  <c r="K46" i="22"/>
  <c r="AA46" i="22" s="1"/>
  <c r="AC46" i="22"/>
  <c r="X45" i="22"/>
  <c r="Z45" i="22"/>
  <c r="W45" i="22"/>
  <c r="Y45" i="22"/>
  <c r="L45" i="22"/>
  <c r="AB45" i="22"/>
  <c r="AD45" i="22" s="1"/>
  <c r="K45" i="22"/>
  <c r="V44" i="22"/>
  <c r="T44" i="22"/>
  <c r="X44" i="22" s="1"/>
  <c r="P44" i="22"/>
  <c r="Q44" i="22"/>
  <c r="O44" i="22"/>
  <c r="W44" i="22" s="1"/>
  <c r="M44" i="22"/>
  <c r="X42" i="22"/>
  <c r="Z42" i="22"/>
  <c r="W42" i="22"/>
  <c r="Y42" i="22"/>
  <c r="AB42" i="22"/>
  <c r="AD42" i="22"/>
  <c r="K42" i="22"/>
  <c r="AA42" i="22"/>
  <c r="AC42" i="22" s="1"/>
  <c r="X41" i="22"/>
  <c r="Z41" i="22" s="1"/>
  <c r="W41" i="22"/>
  <c r="K41" i="22"/>
  <c r="W40" i="22"/>
  <c r="M40" i="22"/>
  <c r="Y40" i="22"/>
  <c r="V40" i="22"/>
  <c r="P40" i="22"/>
  <c r="X40" i="22" s="1"/>
  <c r="Z40" i="22"/>
  <c r="K40" i="22"/>
  <c r="AA40" i="22"/>
  <c r="I40" i="22"/>
  <c r="AC40" i="22"/>
  <c r="W39" i="22"/>
  <c r="AA39" i="22"/>
  <c r="AC39" i="22" s="1"/>
  <c r="Y39" i="22"/>
  <c r="X39" i="22"/>
  <c r="AB39" i="22"/>
  <c r="AD39" i="22" s="1"/>
  <c r="W38" i="22"/>
  <c r="Y38" i="22" s="1"/>
  <c r="X38" i="22"/>
  <c r="L38" i="22"/>
  <c r="K38" i="22"/>
  <c r="AA38" i="22" s="1"/>
  <c r="AC38" i="22"/>
  <c r="X37" i="22"/>
  <c r="Z37" i="22"/>
  <c r="W37" i="22"/>
  <c r="Y37" i="22"/>
  <c r="L37" i="22"/>
  <c r="AB37" i="22"/>
  <c r="AD37" i="22" s="1"/>
  <c r="K37" i="22"/>
  <c r="W36" i="22"/>
  <c r="Y36" i="22" s="1"/>
  <c r="X36" i="22"/>
  <c r="Z36" i="22" s="1"/>
  <c r="L36" i="22"/>
  <c r="AB36" i="22"/>
  <c r="AD36" i="22" s="1"/>
  <c r="K36" i="22"/>
  <c r="X35" i="22"/>
  <c r="Z35" i="22" s="1"/>
  <c r="W35" i="22"/>
  <c r="Y35" i="22"/>
  <c r="L35" i="22"/>
  <c r="K35" i="22"/>
  <c r="AA35" i="22" s="1"/>
  <c r="W34" i="22"/>
  <c r="X34" i="22"/>
  <c r="L34" i="22"/>
  <c r="AB34" i="22"/>
  <c r="AD34" i="22" s="1"/>
  <c r="K34" i="22"/>
  <c r="X33" i="22"/>
  <c r="Z33" i="22" s="1"/>
  <c r="W33" i="22"/>
  <c r="Y33" i="22"/>
  <c r="L33" i="22"/>
  <c r="K33" i="22"/>
  <c r="W32" i="22"/>
  <c r="Y32" i="22" s="1"/>
  <c r="X32" i="22"/>
  <c r="Z32" i="22" s="1"/>
  <c r="L32" i="22"/>
  <c r="AB32" i="22" s="1"/>
  <c r="AD32" i="22" s="1"/>
  <c r="K32" i="22"/>
  <c r="AA32" i="22"/>
  <c r="AC32" i="22"/>
  <c r="AS31" i="22"/>
  <c r="L31" i="22"/>
  <c r="X31" i="22"/>
  <c r="AB31" i="22"/>
  <c r="AD31" i="22" s="1"/>
  <c r="W31" i="22"/>
  <c r="Y31" i="22"/>
  <c r="K31" i="22"/>
  <c r="AA31" i="22" s="1"/>
  <c r="AC31" i="22" s="1"/>
  <c r="W30" i="22"/>
  <c r="Y30" i="22"/>
  <c r="X30" i="22"/>
  <c r="L30" i="22"/>
  <c r="AB30" i="22" s="1"/>
  <c r="AD30" i="22"/>
  <c r="K30" i="22"/>
  <c r="AA30" i="22"/>
  <c r="AC30" i="22" s="1"/>
  <c r="W29" i="22"/>
  <c r="AA29" i="22" s="1"/>
  <c r="AC29" i="22" s="1"/>
  <c r="Y29" i="22"/>
  <c r="V29" i="22"/>
  <c r="T29" i="22"/>
  <c r="P29" i="22"/>
  <c r="X29" i="22"/>
  <c r="K29" i="22"/>
  <c r="X28" i="22"/>
  <c r="Z28" i="22"/>
  <c r="W28" i="22"/>
  <c r="Y28" i="22" s="1"/>
  <c r="AD28" i="22"/>
  <c r="K28" i="22"/>
  <c r="AA28" i="22" s="1"/>
  <c r="AC28" i="22" s="1"/>
  <c r="X27" i="22"/>
  <c r="AB27" i="22" s="1"/>
  <c r="Z27" i="22"/>
  <c r="W27" i="22"/>
  <c r="K27" i="22"/>
  <c r="X26" i="22"/>
  <c r="W26" i="22"/>
  <c r="Y26" i="22" s="1"/>
  <c r="K26" i="22"/>
  <c r="AA26" i="22" s="1"/>
  <c r="AC26" i="22" s="1"/>
  <c r="X25" i="22"/>
  <c r="Z25" i="22"/>
  <c r="W25" i="22"/>
  <c r="Y25" i="22" s="1"/>
  <c r="K25" i="22"/>
  <c r="X24" i="22"/>
  <c r="Z24" i="22" s="1"/>
  <c r="W24" i="22"/>
  <c r="Y24" i="22"/>
  <c r="AB24" i="22"/>
  <c r="AD24" i="22" s="1"/>
  <c r="K24" i="22"/>
  <c r="AA24" i="22"/>
  <c r="AC24" i="22"/>
  <c r="X23" i="22"/>
  <c r="W23" i="22"/>
  <c r="K23" i="22"/>
  <c r="AA23" i="22"/>
  <c r="AC23" i="22" s="1"/>
  <c r="X22" i="22"/>
  <c r="W22" i="22"/>
  <c r="Y22" i="22" s="1"/>
  <c r="K22" i="22"/>
  <c r="X21" i="22"/>
  <c r="AB21" i="22" s="1"/>
  <c r="AD21" i="22" s="1"/>
  <c r="W21" i="22"/>
  <c r="K21" i="22"/>
  <c r="AA21" i="22"/>
  <c r="AC21" i="22" s="1"/>
  <c r="X20" i="22"/>
  <c r="Z20" i="22"/>
  <c r="W20" i="22"/>
  <c r="Y20" i="22" s="1"/>
  <c r="AD20" i="22"/>
  <c r="K20" i="22"/>
  <c r="AA20" i="22"/>
  <c r="AC20" i="22" s="1"/>
  <c r="X19" i="22"/>
  <c r="Z19" i="22" s="1"/>
  <c r="W19" i="22"/>
  <c r="Y19" i="22" s="1"/>
  <c r="K19" i="22"/>
  <c r="AA19" i="22"/>
  <c r="AC19" i="22" s="1"/>
  <c r="X18" i="22"/>
  <c r="Z18" i="22" s="1"/>
  <c r="W18" i="22"/>
  <c r="AA18" i="22" s="1"/>
  <c r="AC18" i="22" s="1"/>
  <c r="K18" i="22"/>
  <c r="X17" i="22"/>
  <c r="Z17" i="22"/>
  <c r="W17" i="22"/>
  <c r="Y17" i="22" s="1"/>
  <c r="K17" i="22"/>
  <c r="AA17" i="22" s="1"/>
  <c r="AC17" i="22" s="1"/>
  <c r="X16" i="22"/>
  <c r="Z16" i="22"/>
  <c r="W16" i="22"/>
  <c r="Y16" i="22"/>
  <c r="AB16" i="22"/>
  <c r="AD16" i="22"/>
  <c r="K16" i="22"/>
  <c r="AA16" i="22"/>
  <c r="AC16" i="22"/>
  <c r="X15" i="22"/>
  <c r="Z15" i="22" s="1"/>
  <c r="W15" i="22"/>
  <c r="K15" i="22"/>
  <c r="Y14" i="22"/>
  <c r="V14" i="22"/>
  <c r="V128" i="22" s="1"/>
  <c r="T14" i="22"/>
  <c r="T128" i="22"/>
  <c r="P14" i="22"/>
  <c r="K14" i="22"/>
  <c r="AA14" i="22"/>
  <c r="AC14" i="22"/>
  <c r="AB76" i="18"/>
  <c r="AD76" i="18"/>
  <c r="Y76" i="18"/>
  <c r="Z76" i="18"/>
  <c r="W75" i="18"/>
  <c r="AA75" i="18"/>
  <c r="AA44" i="22"/>
  <c r="AC44" i="22"/>
  <c r="Y57" i="22"/>
  <c r="Y58" i="22"/>
  <c r="Y60" i="22"/>
  <c r="AB44" i="22"/>
  <c r="AD44" i="22" s="1"/>
  <c r="Z44" i="22"/>
  <c r="AB47" i="22"/>
  <c r="AD47" i="22" s="1"/>
  <c r="Z29" i="22"/>
  <c r="AB29" i="22"/>
  <c r="AD29" i="22" s="1"/>
  <c r="AB15" i="22"/>
  <c r="AD15" i="22" s="1"/>
  <c r="AD27" i="22"/>
  <c r="AA33" i="22"/>
  <c r="AC33" i="22"/>
  <c r="AC35" i="22"/>
  <c r="Y21" i="22"/>
  <c r="Y23" i="22"/>
  <c r="Z30" i="22"/>
  <c r="Z34" i="22"/>
  <c r="Y49" i="22"/>
  <c r="Y51" i="22"/>
  <c r="Y53" i="22"/>
  <c r="Y55" i="22"/>
  <c r="Z62" i="22"/>
  <c r="Z63" i="22"/>
  <c r="Y64" i="22"/>
  <c r="Z67" i="22"/>
  <c r="Y70" i="22"/>
  <c r="Z73" i="22"/>
  <c r="Z74" i="22"/>
  <c r="Y75" i="22"/>
  <c r="Y78" i="22"/>
  <c r="Y79" i="22"/>
  <c r="Z82" i="22"/>
  <c r="Y83" i="22"/>
  <c r="Z86" i="22"/>
  <c r="Y87" i="22"/>
  <c r="Z90" i="22"/>
  <c r="Y91" i="22"/>
  <c r="Y94" i="22"/>
  <c r="Z97" i="22"/>
  <c r="Y103" i="22"/>
  <c r="Z105" i="22"/>
  <c r="Z107" i="22"/>
  <c r="Z112" i="22"/>
  <c r="Z110" i="22"/>
  <c r="Y117" i="22"/>
  <c r="Y118" i="22"/>
  <c r="AB64" i="22"/>
  <c r="AD64" i="22" s="1"/>
  <c r="AA65" i="22"/>
  <c r="AC65" i="22"/>
  <c r="AA68" i="22"/>
  <c r="AC68" i="22" s="1"/>
  <c r="AA71" i="22"/>
  <c r="AC71" i="22"/>
  <c r="AD75" i="22"/>
  <c r="AA77" i="22"/>
  <c r="AC77" i="22"/>
  <c r="AB79" i="22"/>
  <c r="AD79" i="22"/>
  <c r="AD83" i="22"/>
  <c r="AA84" i="22"/>
  <c r="AC84" i="22"/>
  <c r="AB87" i="22"/>
  <c r="AD87" i="22"/>
  <c r="AB94" i="22"/>
  <c r="AD94" i="22" s="1"/>
  <c r="AA95" i="22"/>
  <c r="AC95" i="22"/>
  <c r="AB103" i="22"/>
  <c r="AD103" i="22" s="1"/>
  <c r="AA108" i="22"/>
  <c r="AC108" i="22" s="1"/>
  <c r="AA45" i="22"/>
  <c r="AC45" i="22"/>
  <c r="AA37" i="22"/>
  <c r="AC37" i="22" s="1"/>
  <c r="AB117" i="22"/>
  <c r="AD117" i="22"/>
  <c r="AB99" i="22"/>
  <c r="AD99" i="22" s="1"/>
  <c r="AB53" i="22"/>
  <c r="AD53" i="22" s="1"/>
  <c r="AB49" i="22"/>
  <c r="AD49" i="22"/>
  <c r="AB25" i="22"/>
  <c r="AD25" i="22"/>
  <c r="AB19" i="22"/>
  <c r="AD19" i="22" s="1"/>
  <c r="AB17" i="22"/>
  <c r="AD17" i="22" s="1"/>
  <c r="W73" i="18"/>
  <c r="Y73" i="18"/>
  <c r="W66" i="18"/>
  <c r="Y66" i="18"/>
  <c r="AC99" i="18"/>
  <c r="Y99" i="18"/>
  <c r="W97" i="18"/>
  <c r="AC100" i="18"/>
  <c r="W71" i="18"/>
  <c r="Y71" i="18" s="1"/>
  <c r="W109" i="18"/>
  <c r="K62" i="18"/>
  <c r="W65" i="18"/>
  <c r="K29" i="18"/>
  <c r="AA29" i="18" s="1"/>
  <c r="AC29" i="18" s="1"/>
  <c r="K14" i="18"/>
  <c r="AA14" i="18" s="1"/>
  <c r="N47" i="18"/>
  <c r="N44" i="18"/>
  <c r="M44" i="18"/>
  <c r="L123" i="18"/>
  <c r="L122" i="18" s="1"/>
  <c r="K123" i="18"/>
  <c r="K122" i="18" s="1"/>
  <c r="L117" i="18"/>
  <c r="K117" i="18"/>
  <c r="L115" i="18"/>
  <c r="AB115" i="18" s="1"/>
  <c r="AD115" i="18" s="1"/>
  <c r="K115" i="18"/>
  <c r="L112" i="18"/>
  <c r="K112" i="18"/>
  <c r="AA112" i="18" s="1"/>
  <c r="AC112" i="18" s="1"/>
  <c r="L110" i="18"/>
  <c r="AB110" i="18" s="1"/>
  <c r="AD110" i="18" s="1"/>
  <c r="L109" i="18"/>
  <c r="K108" i="18"/>
  <c r="L108" i="18"/>
  <c r="AB108" i="18" s="1"/>
  <c r="AD108" i="18" s="1"/>
  <c r="L107" i="18"/>
  <c r="K107" i="18"/>
  <c r="K106" i="18"/>
  <c r="L106" i="18"/>
  <c r="AB106" i="18" s="1"/>
  <c r="AD106" i="18" s="1"/>
  <c r="L105" i="18"/>
  <c r="K104" i="18"/>
  <c r="L104" i="18"/>
  <c r="L103" i="18"/>
  <c r="AB103" i="18" s="1"/>
  <c r="AD103" i="18" s="1"/>
  <c r="L101" i="18"/>
  <c r="AB101" i="18" s="1"/>
  <c r="AD101" i="18" s="1"/>
  <c r="L100" i="18"/>
  <c r="L99" i="18"/>
  <c r="L97" i="18"/>
  <c r="L96" i="18"/>
  <c r="L95" i="18"/>
  <c r="K94" i="18"/>
  <c r="L94" i="18"/>
  <c r="AB94" i="18" s="1"/>
  <c r="AD94" i="18" s="1"/>
  <c r="L91" i="18"/>
  <c r="L90" i="18"/>
  <c r="L89" i="18"/>
  <c r="L88" i="18"/>
  <c r="AB88" i="18" s="1"/>
  <c r="AD88" i="18" s="1"/>
  <c r="L87" i="18"/>
  <c r="L86" i="18"/>
  <c r="L85" i="18"/>
  <c r="L84" i="18"/>
  <c r="AB84" i="18" s="1"/>
  <c r="AD84" i="18" s="1"/>
  <c r="L83" i="18"/>
  <c r="AB83" i="18" s="1"/>
  <c r="AD83" i="18" s="1"/>
  <c r="L82" i="18"/>
  <c r="L81" i="18"/>
  <c r="L80" i="18"/>
  <c r="AB80" i="18" s="1"/>
  <c r="AD80" i="18" s="1"/>
  <c r="L79" i="18"/>
  <c r="L77" i="18"/>
  <c r="L75" i="18"/>
  <c r="L73" i="18"/>
  <c r="AB73" i="18" s="1"/>
  <c r="AD73" i="18" s="1"/>
  <c r="L72" i="18"/>
  <c r="L71" i="18"/>
  <c r="L70" i="18"/>
  <c r="K70" i="18"/>
  <c r="AA70" i="18" s="1"/>
  <c r="AC70" i="18" s="1"/>
  <c r="L69" i="18"/>
  <c r="AB69" i="18" s="1"/>
  <c r="AD69" i="18" s="1"/>
  <c r="L68" i="18"/>
  <c r="K68" i="18"/>
  <c r="L67" i="18"/>
  <c r="AB67" i="18" s="1"/>
  <c r="AD67" i="18" s="1"/>
  <c r="L66" i="18"/>
  <c r="AB66" i="18" s="1"/>
  <c r="L65" i="18"/>
  <c r="L64" i="18"/>
  <c r="L63" i="18"/>
  <c r="AB63" i="18" s="1"/>
  <c r="AD63" i="18" s="1"/>
  <c r="L62" i="18"/>
  <c r="AB62" i="18" s="1"/>
  <c r="AD62" i="18" s="1"/>
  <c r="K55" i="18"/>
  <c r="L55" i="18"/>
  <c r="L54" i="18"/>
  <c r="AB54" i="18" s="1"/>
  <c r="AD54" i="18" s="1"/>
  <c r="K54" i="18"/>
  <c r="AA54" i="18" s="1"/>
  <c r="AC54" i="18" s="1"/>
  <c r="K53" i="18"/>
  <c r="L53" i="18"/>
  <c r="L52" i="18"/>
  <c r="AB52" i="18" s="1"/>
  <c r="AD52" i="18" s="1"/>
  <c r="K52" i="18"/>
  <c r="AA52" i="18" s="1"/>
  <c r="L51" i="18"/>
  <c r="K51" i="18"/>
  <c r="L50" i="18"/>
  <c r="AB50" i="18" s="1"/>
  <c r="AD50" i="18" s="1"/>
  <c r="K50" i="18"/>
  <c r="K49" i="18"/>
  <c r="L49" i="18"/>
  <c r="L48" i="18"/>
  <c r="AB48" i="18" s="1"/>
  <c r="AD48" i="18" s="1"/>
  <c r="K48" i="18"/>
  <c r="K47" i="18" s="1"/>
  <c r="K46" i="18"/>
  <c r="L46" i="18"/>
  <c r="L45" i="18"/>
  <c r="K45" i="18"/>
  <c r="AA45" i="18" s="1"/>
  <c r="AC45" i="18" s="1"/>
  <c r="K42" i="18"/>
  <c r="L42" i="18"/>
  <c r="L41" i="18"/>
  <c r="L40" i="18" s="1"/>
  <c r="K41" i="18"/>
  <c r="N40" i="18"/>
  <c r="M40" i="18"/>
  <c r="L38" i="18"/>
  <c r="AB38" i="18" s="1"/>
  <c r="K38" i="18"/>
  <c r="L37" i="18"/>
  <c r="K37" i="18"/>
  <c r="L36" i="18"/>
  <c r="K36" i="18"/>
  <c r="L35" i="18"/>
  <c r="K35" i="18"/>
  <c r="AA35" i="18" s="1"/>
  <c r="AC35" i="18" s="1"/>
  <c r="K34" i="18"/>
  <c r="AA34" i="18" s="1"/>
  <c r="L34" i="18"/>
  <c r="L33" i="18"/>
  <c r="K33" i="18"/>
  <c r="AA33" i="18" s="1"/>
  <c r="AC33" i="18" s="1"/>
  <c r="K32" i="18"/>
  <c r="AA32" i="18" s="1"/>
  <c r="AC32" i="18" s="1"/>
  <c r="L32" i="18"/>
  <c r="L31" i="18"/>
  <c r="K31" i="18"/>
  <c r="AA31" i="18" s="1"/>
  <c r="AC31" i="18" s="1"/>
  <c r="J14" i="18"/>
  <c r="L24" i="18"/>
  <c r="K24" i="18"/>
  <c r="L23" i="18"/>
  <c r="L22" i="18"/>
  <c r="AB22" i="18" s="1"/>
  <c r="AD22" i="18" s="1"/>
  <c r="L20" i="18"/>
  <c r="L21" i="18"/>
  <c r="K20" i="18"/>
  <c r="AA20" i="18" s="1"/>
  <c r="AC20" i="18" s="1"/>
  <c r="L19" i="18"/>
  <c r="L18" i="18"/>
  <c r="L17" i="18"/>
  <c r="K16" i="18"/>
  <c r="AA16" i="18" s="1"/>
  <c r="AC16" i="18" s="1"/>
  <c r="L15" i="18"/>
  <c r="K40" i="18"/>
  <c r="K15" i="18"/>
  <c r="W59" i="18"/>
  <c r="W61" i="18"/>
  <c r="W60" i="18"/>
  <c r="W57" i="18"/>
  <c r="Y57" i="18" s="1"/>
  <c r="W58" i="18"/>
  <c r="Y58" i="18" s="1"/>
  <c r="X101" i="18"/>
  <c r="V40" i="18"/>
  <c r="X55" i="18"/>
  <c r="Z55" i="18" s="1"/>
  <c r="AB55" i="18"/>
  <c r="AD55" i="18" s="1"/>
  <c r="W55" i="18"/>
  <c r="AA55" i="18"/>
  <c r="AC55" i="18"/>
  <c r="Y55" i="18"/>
  <c r="T14" i="18"/>
  <c r="P14" i="18"/>
  <c r="N14" i="18"/>
  <c r="W28" i="18"/>
  <c r="Y28" i="18" s="1"/>
  <c r="W27" i="18"/>
  <c r="Y27" i="18"/>
  <c r="X27" i="18"/>
  <c r="AA27" i="18"/>
  <c r="AC27" i="18"/>
  <c r="X100" i="18"/>
  <c r="X99" i="18"/>
  <c r="AB99" i="18"/>
  <c r="AD99" i="18" s="1"/>
  <c r="X96" i="18"/>
  <c r="Z96" i="18" s="1"/>
  <c r="X91" i="18"/>
  <c r="X90" i="18"/>
  <c r="AB90" i="18" s="1"/>
  <c r="X89" i="18"/>
  <c r="X87" i="18"/>
  <c r="Z87" i="18"/>
  <c r="X85" i="18"/>
  <c r="Z85" i="18" s="1"/>
  <c r="X83" i="18"/>
  <c r="Z83" i="18"/>
  <c r="X82" i="18"/>
  <c r="X81" i="18"/>
  <c r="X80" i="18"/>
  <c r="Z80" i="18"/>
  <c r="X77" i="18"/>
  <c r="X72" i="18"/>
  <c r="X71" i="18"/>
  <c r="Z71" i="18" s="1"/>
  <c r="X69" i="18"/>
  <c r="X68" i="18"/>
  <c r="Z68" i="18"/>
  <c r="X66" i="18"/>
  <c r="X65" i="18"/>
  <c r="X64" i="18"/>
  <c r="Z64" i="18"/>
  <c r="X62" i="18"/>
  <c r="Z62" i="18" s="1"/>
  <c r="X54" i="18"/>
  <c r="X53" i="18"/>
  <c r="W52" i="18"/>
  <c r="Y52" i="18" s="1"/>
  <c r="X52" i="18"/>
  <c r="Z52" i="18"/>
  <c r="W49" i="18"/>
  <c r="X49" i="18"/>
  <c r="Z49" i="18"/>
  <c r="X46" i="18"/>
  <c r="Z46" i="18" s="1"/>
  <c r="Z38" i="18"/>
  <c r="X42" i="18"/>
  <c r="Z42" i="18" s="1"/>
  <c r="X37" i="18"/>
  <c r="Z37" i="18"/>
  <c r="X36" i="18"/>
  <c r="Z36" i="18" s="1"/>
  <c r="W34" i="18"/>
  <c r="AC34" i="18"/>
  <c r="X34" i="18"/>
  <c r="Z34" i="18"/>
  <c r="W33" i="18"/>
  <c r="Y33" i="18"/>
  <c r="X33" i="18"/>
  <c r="Z33" i="18"/>
  <c r="X32" i="18"/>
  <c r="Z32" i="18"/>
  <c r="X26" i="18"/>
  <c r="AB26" i="18"/>
  <c r="AD26" i="18"/>
  <c r="X25" i="18"/>
  <c r="Z25" i="18" s="1"/>
  <c r="X22" i="18"/>
  <c r="Z22" i="18"/>
  <c r="X21" i="18"/>
  <c r="AB21" i="18"/>
  <c r="AD21" i="18" s="1"/>
  <c r="X18" i="18"/>
  <c r="AB18" i="18" s="1"/>
  <c r="AD18" i="18" s="1"/>
  <c r="X16" i="18"/>
  <c r="AB16" i="18"/>
  <c r="AD16" i="18" s="1"/>
  <c r="X15" i="18"/>
  <c r="Z15" i="18" s="1"/>
  <c r="X123" i="18"/>
  <c r="AB123" i="18"/>
  <c r="AD123" i="18" s="1"/>
  <c r="W123" i="18"/>
  <c r="Y123" i="18"/>
  <c r="W122" i="18"/>
  <c r="Y122" i="18" s="1"/>
  <c r="T122" i="18"/>
  <c r="X122" i="18"/>
  <c r="N122" i="18"/>
  <c r="J122" i="18"/>
  <c r="I122" i="18"/>
  <c r="W121" i="18"/>
  <c r="W120" i="18"/>
  <c r="W119" i="18"/>
  <c r="X118" i="18"/>
  <c r="AB118" i="18"/>
  <c r="AD118" i="18" s="1"/>
  <c r="W118" i="18"/>
  <c r="Y118" i="18" s="1"/>
  <c r="X117" i="18"/>
  <c r="W117" i="18"/>
  <c r="X116" i="18"/>
  <c r="AB116" i="18" s="1"/>
  <c r="AD116" i="18" s="1"/>
  <c r="W116" i="18"/>
  <c r="Y116" i="18"/>
  <c r="X115" i="18"/>
  <c r="Z115" i="18" s="1"/>
  <c r="W115" i="18"/>
  <c r="AA115" i="18"/>
  <c r="AC115" i="18"/>
  <c r="X114" i="18"/>
  <c r="AB114" i="18"/>
  <c r="AD114" i="18"/>
  <c r="W114" i="18"/>
  <c r="X113" i="18"/>
  <c r="AB113" i="18" s="1"/>
  <c r="AD113" i="18" s="1"/>
  <c r="W113" i="18"/>
  <c r="Y113" i="18"/>
  <c r="X112" i="18"/>
  <c r="Z112" i="18" s="1"/>
  <c r="W112" i="18"/>
  <c r="Y112" i="18"/>
  <c r="AB111" i="18"/>
  <c r="AD111" i="18" s="1"/>
  <c r="W111" i="18"/>
  <c r="AA111" i="18"/>
  <c r="AC111" i="18"/>
  <c r="X110" i="18"/>
  <c r="W110" i="18"/>
  <c r="X109" i="18"/>
  <c r="AB109" i="18"/>
  <c r="AD109" i="18" s="1"/>
  <c r="X108" i="18"/>
  <c r="W108" i="18"/>
  <c r="Y108" i="18"/>
  <c r="X107" i="18"/>
  <c r="Z107" i="18" s="1"/>
  <c r="AB107" i="18"/>
  <c r="AD107" i="18" s="1"/>
  <c r="W107" i="18"/>
  <c r="AA107" i="18"/>
  <c r="AC107" i="18"/>
  <c r="X106" i="18"/>
  <c r="W106" i="18"/>
  <c r="X105" i="18"/>
  <c r="AB105" i="18"/>
  <c r="AD105" i="18" s="1"/>
  <c r="W105" i="18"/>
  <c r="Y105" i="18"/>
  <c r="X104" i="18"/>
  <c r="W104" i="18"/>
  <c r="Y104" i="18"/>
  <c r="X103" i="18"/>
  <c r="W103" i="18"/>
  <c r="Y103" i="18" s="1"/>
  <c r="W101" i="18"/>
  <c r="AA101" i="18" s="1"/>
  <c r="AC101" i="18" s="1"/>
  <c r="Y101" i="18"/>
  <c r="Y100" i="18"/>
  <c r="W99" i="18"/>
  <c r="X97" i="18"/>
  <c r="Z97" i="18" s="1"/>
  <c r="AB97" i="18"/>
  <c r="AD97" i="18" s="1"/>
  <c r="Y97" i="18"/>
  <c r="W96" i="18"/>
  <c r="Y96" i="18"/>
  <c r="X95" i="18"/>
  <c r="AB95" i="18"/>
  <c r="AD95" i="18"/>
  <c r="W95" i="18"/>
  <c r="Y95" i="18" s="1"/>
  <c r="X94" i="18"/>
  <c r="W94" i="18"/>
  <c r="Y94" i="18"/>
  <c r="X93" i="18"/>
  <c r="AB93" i="18" s="1"/>
  <c r="AD93" i="18" s="1"/>
  <c r="W93" i="18"/>
  <c r="AA93" i="18"/>
  <c r="AC93" i="18" s="1"/>
  <c r="X92" i="18"/>
  <c r="AB92" i="18"/>
  <c r="AD92" i="18"/>
  <c r="W92" i="18"/>
  <c r="Y92" i="18" s="1"/>
  <c r="W91" i="18"/>
  <c r="Y91" i="18"/>
  <c r="W90" i="18"/>
  <c r="W89" i="18"/>
  <c r="Y89" i="18"/>
  <c r="X88" i="18"/>
  <c r="Z88" i="18" s="1"/>
  <c r="W88" i="18"/>
  <c r="Y88" i="18"/>
  <c r="W87" i="18"/>
  <c r="Y87" i="18" s="1"/>
  <c r="X86" i="18"/>
  <c r="Z86" i="18"/>
  <c r="W86" i="18"/>
  <c r="AA86" i="18" s="1"/>
  <c r="AC86" i="18" s="1"/>
  <c r="W85" i="18"/>
  <c r="AA85" i="18" s="1"/>
  <c r="Y85" i="18"/>
  <c r="X84" i="18"/>
  <c r="Z84" i="18"/>
  <c r="W84" i="18"/>
  <c r="Y84" i="18" s="1"/>
  <c r="AA84" i="18"/>
  <c r="AC84" i="18" s="1"/>
  <c r="W83" i="18"/>
  <c r="Y83" i="18"/>
  <c r="W82" i="18"/>
  <c r="AA82" i="18" s="1"/>
  <c r="AC82" i="18" s="1"/>
  <c r="W81" i="18"/>
  <c r="AA81" i="18" s="1"/>
  <c r="AC81" i="18" s="1"/>
  <c r="Y81" i="18"/>
  <c r="W80" i="18"/>
  <c r="Y80" i="18"/>
  <c r="X79" i="18"/>
  <c r="Z79" i="18" s="1"/>
  <c r="AB79" i="18"/>
  <c r="AD79" i="18" s="1"/>
  <c r="W79" i="18"/>
  <c r="AA79" i="18"/>
  <c r="AC79" i="18"/>
  <c r="AB78" i="18"/>
  <c r="AD78" i="18"/>
  <c r="W78" i="18"/>
  <c r="Y78" i="18" s="1"/>
  <c r="AA78" i="18"/>
  <c r="AC78" i="18" s="1"/>
  <c r="W77" i="18"/>
  <c r="Y77" i="18" s="1"/>
  <c r="AA77" i="18"/>
  <c r="AC77" i="18" s="1"/>
  <c r="X75" i="18"/>
  <c r="Z75" i="18"/>
  <c r="X74" i="18"/>
  <c r="AB74" i="18" s="1"/>
  <c r="W74" i="18"/>
  <c r="AA74" i="18"/>
  <c r="AC74" i="18"/>
  <c r="X73" i="18"/>
  <c r="AA73" i="18"/>
  <c r="AC73" i="18" s="1"/>
  <c r="W72" i="18"/>
  <c r="AA72" i="18"/>
  <c r="AC72" i="18"/>
  <c r="X70" i="18"/>
  <c r="Z70" i="18"/>
  <c r="W70" i="18"/>
  <c r="Y70" i="18" s="1"/>
  <c r="W69" i="18"/>
  <c r="W68" i="18"/>
  <c r="AA68" i="18"/>
  <c r="AC68" i="18" s="1"/>
  <c r="X67" i="18"/>
  <c r="Z67" i="18"/>
  <c r="W67" i="18"/>
  <c r="Y67" i="18" s="1"/>
  <c r="AA66" i="18"/>
  <c r="AC66" i="18"/>
  <c r="AA65" i="18"/>
  <c r="AC65" i="18" s="1"/>
  <c r="W64" i="18"/>
  <c r="AA64" i="18"/>
  <c r="AC64" i="18" s="1"/>
  <c r="X63" i="18"/>
  <c r="Z63" i="18"/>
  <c r="AA63" i="18"/>
  <c r="AC63" i="18" s="1"/>
  <c r="W62" i="18"/>
  <c r="AA62" i="18"/>
  <c r="AC62" i="18"/>
  <c r="AA61" i="18"/>
  <c r="AC61" i="18" s="1"/>
  <c r="AA60" i="18"/>
  <c r="AC60" i="18"/>
  <c r="Y60" i="18"/>
  <c r="AA57" i="18"/>
  <c r="AC57" i="18" s="1"/>
  <c r="AA56" i="18"/>
  <c r="AC56" i="18"/>
  <c r="Y56" i="18"/>
  <c r="T56" i="18"/>
  <c r="R56" i="18"/>
  <c r="P56" i="18"/>
  <c r="P128" i="18" s="1"/>
  <c r="N56" i="18"/>
  <c r="J56" i="18"/>
  <c r="W54" i="18"/>
  <c r="Y54" i="18"/>
  <c r="W53" i="18"/>
  <c r="Y53" i="18" s="1"/>
  <c r="X51" i="18"/>
  <c r="Z51" i="18"/>
  <c r="W51" i="18"/>
  <c r="X50" i="18"/>
  <c r="Z50" i="18"/>
  <c r="W50" i="18"/>
  <c r="Y50" i="18" s="1"/>
  <c r="X48" i="18"/>
  <c r="Z48" i="18"/>
  <c r="W48" i="18"/>
  <c r="Y48" i="18" s="1"/>
  <c r="T47" i="18"/>
  <c r="R47" i="18"/>
  <c r="Q47" i="18"/>
  <c r="P47" i="18"/>
  <c r="O47" i="18"/>
  <c r="J47" i="18"/>
  <c r="J128" i="18" s="1"/>
  <c r="I47" i="18"/>
  <c r="AA46" i="18"/>
  <c r="AC46" i="18"/>
  <c r="X45" i="18"/>
  <c r="Z45" i="18" s="1"/>
  <c r="W45" i="18"/>
  <c r="T44" i="18"/>
  <c r="R44" i="18"/>
  <c r="Q44" i="18"/>
  <c r="P44" i="18"/>
  <c r="O44" i="18"/>
  <c r="W44" i="18" s="1"/>
  <c r="J44" i="18"/>
  <c r="W42" i="18"/>
  <c r="AA42" i="18" s="1"/>
  <c r="AC42" i="18" s="1"/>
  <c r="X41" i="18"/>
  <c r="W41" i="18"/>
  <c r="AA41" i="18"/>
  <c r="AC41" i="18"/>
  <c r="P40" i="18"/>
  <c r="J40" i="18"/>
  <c r="I40" i="18"/>
  <c r="AB39" i="18"/>
  <c r="AD39" i="18" s="1"/>
  <c r="W39" i="18"/>
  <c r="AA39" i="18"/>
  <c r="AC39" i="18"/>
  <c r="W38" i="18"/>
  <c r="AA38" i="18" s="1"/>
  <c r="AC38" i="18" s="1"/>
  <c r="W37" i="18"/>
  <c r="Y37" i="18" s="1"/>
  <c r="AA37" i="18"/>
  <c r="AC37" i="18" s="1"/>
  <c r="W36" i="18"/>
  <c r="Y36" i="18"/>
  <c r="X35" i="18"/>
  <c r="Z35" i="18" s="1"/>
  <c r="W35" i="18"/>
  <c r="Y35" i="18"/>
  <c r="W32" i="18"/>
  <c r="Y32" i="18" s="1"/>
  <c r="AS31" i="18"/>
  <c r="X31" i="18"/>
  <c r="AB31" i="18" s="1"/>
  <c r="AD31" i="18" s="1"/>
  <c r="W31" i="18"/>
  <c r="X30" i="18"/>
  <c r="W30" i="18"/>
  <c r="Y30" i="18" s="1"/>
  <c r="W29" i="18"/>
  <c r="Y29" i="18"/>
  <c r="T29" i="18"/>
  <c r="R29" i="18"/>
  <c r="P29" i="18"/>
  <c r="N29" i="18"/>
  <c r="J29" i="18"/>
  <c r="W26" i="18"/>
  <c r="Y26" i="18"/>
  <c r="W25" i="18"/>
  <c r="Y25" i="18" s="1"/>
  <c r="X24" i="18"/>
  <c r="AB24" i="18"/>
  <c r="AD24" i="18" s="1"/>
  <c r="W24" i="18"/>
  <c r="Y24" i="18"/>
  <c r="W23" i="18"/>
  <c r="Y23" i="18" s="1"/>
  <c r="W22" i="18"/>
  <c r="Y22" i="18"/>
  <c r="W21" i="18"/>
  <c r="Y21" i="18" s="1"/>
  <c r="X20" i="18"/>
  <c r="AB20" i="18"/>
  <c r="AD20" i="18"/>
  <c r="W20" i="18"/>
  <c r="Y20" i="18" s="1"/>
  <c r="X19" i="18"/>
  <c r="Z19" i="18"/>
  <c r="W19" i="18"/>
  <c r="Y19" i="18" s="1"/>
  <c r="W18" i="18"/>
  <c r="Y18" i="18"/>
  <c r="X17" i="18"/>
  <c r="W17" i="18"/>
  <c r="Y17" i="18"/>
  <c r="W16" i="18"/>
  <c r="Y16" i="18"/>
  <c r="W15" i="18"/>
  <c r="Y15" i="18"/>
  <c r="Y14" i="18"/>
  <c r="AA118" i="18"/>
  <c r="AC118" i="18" s="1"/>
  <c r="Z117" i="18"/>
  <c r="Z30" i="18"/>
  <c r="AB30" i="18"/>
  <c r="AD30" i="18" s="1"/>
  <c r="Y61" i="18"/>
  <c r="AA30" i="18"/>
  <c r="AC30" i="18" s="1"/>
  <c r="X40" i="18"/>
  <c r="Z40" i="18" s="1"/>
  <c r="AA95" i="18"/>
  <c r="AC95" i="18" s="1"/>
  <c r="V14" i="18"/>
  <c r="Y63" i="18"/>
  <c r="Y40" i="18"/>
  <c r="W47" i="18"/>
  <c r="Y47" i="18" s="1"/>
  <c r="Y107" i="18"/>
  <c r="AA87" i="18"/>
  <c r="AC87" i="18" s="1"/>
  <c r="AA113" i="18"/>
  <c r="AC113" i="18" s="1"/>
  <c r="Y68" i="18"/>
  <c r="Y82" i="18"/>
  <c r="AA89" i="18"/>
  <c r="AC89" i="18" s="1"/>
  <c r="AA94" i="18"/>
  <c r="AC94" i="18" s="1"/>
  <c r="AA116" i="18"/>
  <c r="AC116" i="18" s="1"/>
  <c r="AA103" i="18"/>
  <c r="AC103" i="18" s="1"/>
  <c r="V44" i="18"/>
  <c r="AA36" i="18"/>
  <c r="AC36" i="18" s="1"/>
  <c r="AA40" i="18"/>
  <c r="AC40" i="18" s="1"/>
  <c r="Y39" i="18"/>
  <c r="Y34" i="18"/>
  <c r="AA17" i="18"/>
  <c r="AC17" i="18"/>
  <c r="Z41" i="18"/>
  <c r="Y45" i="18"/>
  <c r="AC14" i="18"/>
  <c r="AB64" i="18"/>
  <c r="AD64" i="18" s="1"/>
  <c r="Y72" i="18"/>
  <c r="AD74" i="18"/>
  <c r="AA92" i="18"/>
  <c r="AC92" i="18" s="1"/>
  <c r="AA24" i="18"/>
  <c r="AC24" i="18" s="1"/>
  <c r="Y31" i="18"/>
  <c r="Y41" i="18"/>
  <c r="Y42" i="18"/>
  <c r="AB49" i="18"/>
  <c r="AD49" i="18"/>
  <c r="Y62" i="18"/>
  <c r="Y65" i="18"/>
  <c r="Y74" i="18"/>
  <c r="Y86" i="18"/>
  <c r="AB87" i="18"/>
  <c r="AD87" i="18" s="1"/>
  <c r="AA105" i="18"/>
  <c r="AC105" i="18" s="1"/>
  <c r="Y111" i="18"/>
  <c r="Y117" i="18"/>
  <c r="Y79" i="18"/>
  <c r="AD90" i="18"/>
  <c r="AA104" i="18"/>
  <c r="AC104" i="18" s="1"/>
  <c r="AA123" i="18"/>
  <c r="AC123" i="18"/>
  <c r="Z123" i="18"/>
  <c r="Y115" i="18"/>
  <c r="AA108" i="18"/>
  <c r="AC108" i="18"/>
  <c r="AA97" i="18"/>
  <c r="AC97" i="18"/>
  <c r="AA96" i="18"/>
  <c r="AC96" i="18"/>
  <c r="AA91" i="18"/>
  <c r="AC91" i="18"/>
  <c r="Z91" i="18"/>
  <c r="AB91" i="18"/>
  <c r="AD91" i="18" s="1"/>
  <c r="AB89" i="18"/>
  <c r="AD89" i="18" s="1"/>
  <c r="Z89" i="18"/>
  <c r="AA88" i="18"/>
  <c r="AC88" i="18"/>
  <c r="AB86" i="18"/>
  <c r="AD86" i="18" s="1"/>
  <c r="AC85" i="18"/>
  <c r="AB85" i="18"/>
  <c r="AD85" i="18" s="1"/>
  <c r="AA83" i="18"/>
  <c r="AC83" i="18" s="1"/>
  <c r="AB82" i="18"/>
  <c r="AD82" i="18" s="1"/>
  <c r="Z82" i="18"/>
  <c r="AB81" i="18"/>
  <c r="AD81" i="18"/>
  <c r="Z81" i="18"/>
  <c r="AA80" i="18"/>
  <c r="AC80" i="18" s="1"/>
  <c r="AC75" i="18"/>
  <c r="Y75" i="18"/>
  <c r="AB75" i="18"/>
  <c r="AD75" i="18" s="1"/>
  <c r="Z73" i="18"/>
  <c r="Z72" i="18"/>
  <c r="AB72" i="18"/>
  <c r="AD72" i="18" s="1"/>
  <c r="AB71" i="18"/>
  <c r="AD71" i="18" s="1"/>
  <c r="AB70" i="18"/>
  <c r="AD70" i="18"/>
  <c r="Z69" i="18"/>
  <c r="AB68" i="18"/>
  <c r="AD68" i="18" s="1"/>
  <c r="AD66" i="18"/>
  <c r="Z66" i="18"/>
  <c r="Z65" i="18"/>
  <c r="AB65" i="18"/>
  <c r="AD65" i="18"/>
  <c r="Y64" i="18"/>
  <c r="V56" i="18"/>
  <c r="Z54" i="18"/>
  <c r="V47" i="18"/>
  <c r="AB51" i="18"/>
  <c r="AD51" i="18"/>
  <c r="Y46" i="18"/>
  <c r="AB46" i="18"/>
  <c r="AD46" i="18" s="1"/>
  <c r="Y38" i="18"/>
  <c r="V29" i="18"/>
  <c r="X29" i="18"/>
  <c r="Z29" i="18" s="1"/>
  <c r="AA26" i="18"/>
  <c r="AC26" i="18"/>
  <c r="AA25" i="18"/>
  <c r="AC25" i="18" s="1"/>
  <c r="AA23" i="18"/>
  <c r="AC23" i="18" s="1"/>
  <c r="AA22" i="18"/>
  <c r="AC22" i="18" s="1"/>
  <c r="AA21" i="18"/>
  <c r="AC21" i="18" s="1"/>
  <c r="AA19" i="18"/>
  <c r="AC19" i="18" s="1"/>
  <c r="AA18" i="18"/>
  <c r="AC18" i="18" s="1"/>
  <c r="AA15" i="18"/>
  <c r="AC15" i="18" s="1"/>
  <c r="AB19" i="18"/>
  <c r="AD19" i="18" s="1"/>
  <c r="Z16" i="18"/>
  <c r="Z18" i="18"/>
  <c r="Z20" i="18"/>
  <c r="Z21" i="18"/>
  <c r="Z24" i="18"/>
  <c r="Z26" i="18"/>
  <c r="AA48" i="18"/>
  <c r="AC48" i="18" s="1"/>
  <c r="AA50" i="18"/>
  <c r="AC50" i="18"/>
  <c r="AC52" i="18"/>
  <c r="AA53" i="18"/>
  <c r="AC53" i="18" s="1"/>
  <c r="Y93" i="18"/>
  <c r="Z94" i="18"/>
  <c r="Z95" i="18"/>
  <c r="Z99" i="18"/>
  <c r="Z101" i="18"/>
  <c r="Z103" i="18"/>
  <c r="Z105" i="18"/>
  <c r="Z106" i="18"/>
  <c r="Z108" i="18"/>
  <c r="Z109" i="18"/>
  <c r="Z110" i="18"/>
  <c r="AB112" i="18"/>
  <c r="AD112" i="18" s="1"/>
  <c r="AB32" i="18"/>
  <c r="AD32" i="18" s="1"/>
  <c r="AB33" i="18"/>
  <c r="AD33" i="18"/>
  <c r="AB34" i="18"/>
  <c r="AD34" i="18" s="1"/>
  <c r="AB35" i="18"/>
  <c r="AD35" i="18" s="1"/>
  <c r="AB36" i="18"/>
  <c r="AD36" i="18" s="1"/>
  <c r="AB37" i="18"/>
  <c r="AD37" i="18" s="1"/>
  <c r="AD38" i="18"/>
  <c r="AB122" i="18"/>
  <c r="AD122" i="18" s="1"/>
  <c r="AC126" i="18" l="1"/>
  <c r="AB40" i="18"/>
  <c r="AD40" i="18" s="1"/>
  <c r="X47" i="18"/>
  <c r="Y51" i="18"/>
  <c r="AA51" i="18"/>
  <c r="AC51" i="18" s="1"/>
  <c r="Y90" i="18"/>
  <c r="AA90" i="18"/>
  <c r="AC90" i="18" s="1"/>
  <c r="AA59" i="18"/>
  <c r="AC59" i="18" s="1"/>
  <c r="Y59" i="18"/>
  <c r="X14" i="22"/>
  <c r="Z14" i="22" s="1"/>
  <c r="P128" i="22"/>
  <c r="Y80" i="22"/>
  <c r="AA80" i="22"/>
  <c r="AC80" i="22" s="1"/>
  <c r="Y88" i="22"/>
  <c r="AA88" i="22"/>
  <c r="AC88" i="22" s="1"/>
  <c r="Z28" i="18"/>
  <c r="AB28" i="18"/>
  <c r="AD28" i="18" s="1"/>
  <c r="AA44" i="18"/>
  <c r="AC44" i="18" s="1"/>
  <c r="AC130" i="18" s="1"/>
  <c r="Y44" i="18"/>
  <c r="AA114" i="18"/>
  <c r="AC114" i="18" s="1"/>
  <c r="Y114" i="18"/>
  <c r="Y52" i="22"/>
  <c r="AA52" i="22"/>
  <c r="AC52" i="22" s="1"/>
  <c r="X128" i="22"/>
  <c r="AB25" i="18"/>
  <c r="AD25" i="18" s="1"/>
  <c r="V128" i="18"/>
  <c r="AA69" i="18"/>
  <c r="AC69" i="18" s="1"/>
  <c r="Y69" i="18"/>
  <c r="AA71" i="18"/>
  <c r="AC71" i="18" s="1"/>
  <c r="Z104" i="18"/>
  <c r="AB104" i="18"/>
  <c r="AD104" i="18" s="1"/>
  <c r="Z90" i="18"/>
  <c r="AB33" i="22"/>
  <c r="AD33" i="22" s="1"/>
  <c r="AA41" i="22"/>
  <c r="AC41" i="22" s="1"/>
  <c r="Y41" i="22"/>
  <c r="AA49" i="22"/>
  <c r="AC49" i="22" s="1"/>
  <c r="K47" i="22"/>
  <c r="AA47" i="22" s="1"/>
  <c r="AC47" i="22" s="1"/>
  <c r="AC130" i="22" s="1"/>
  <c r="AB100" i="18"/>
  <c r="AD100" i="18" s="1"/>
  <c r="Z100" i="18"/>
  <c r="Z126" i="18" s="1"/>
  <c r="Z27" i="18"/>
  <c r="AB27" i="18"/>
  <c r="AD27" i="18" s="1"/>
  <c r="AB45" i="18"/>
  <c r="AD45" i="18" s="1"/>
  <c r="AA117" i="18"/>
  <c r="AC117" i="18" s="1"/>
  <c r="AA61" i="22"/>
  <c r="AC61" i="22" s="1"/>
  <c r="Y61" i="22"/>
  <c r="R14" i="18"/>
  <c r="X14" i="18" s="1"/>
  <c r="Z14" i="18" s="1"/>
  <c r="AB29" i="18"/>
  <c r="AD29" i="18" s="1"/>
  <c r="X56" i="18"/>
  <c r="AB41" i="18"/>
  <c r="AD41" i="18" s="1"/>
  <c r="T128" i="18"/>
  <c r="X44" i="18"/>
  <c r="AB17" i="18"/>
  <c r="AD17" i="18" s="1"/>
  <c r="Z17" i="18"/>
  <c r="AA58" i="18"/>
  <c r="AC58" i="18" s="1"/>
  <c r="AA67" i="18"/>
  <c r="AC67" i="18" s="1"/>
  <c r="Z122" i="18"/>
  <c r="N128" i="18"/>
  <c r="X23" i="18"/>
  <c r="Z23" i="18" s="1"/>
  <c r="Y49" i="18"/>
  <c r="AA49" i="18"/>
  <c r="AC49" i="18" s="1"/>
  <c r="Z53" i="18"/>
  <c r="AB53" i="18"/>
  <c r="AD53" i="18" s="1"/>
  <c r="Z77" i="18"/>
  <c r="AB77" i="18"/>
  <c r="AD77" i="18" s="1"/>
  <c r="AA28" i="18"/>
  <c r="AC28" i="18" s="1"/>
  <c r="L14" i="18"/>
  <c r="AB14" i="18" s="1"/>
  <c r="AD14" i="18" s="1"/>
  <c r="AB15" i="18"/>
  <c r="AD15" i="18" s="1"/>
  <c r="AA47" i="18"/>
  <c r="AC47" i="18" s="1"/>
  <c r="AB96" i="18"/>
  <c r="AD96" i="18" s="1"/>
  <c r="Y109" i="18"/>
  <c r="Y126" i="18" s="1"/>
  <c r="AA109" i="18"/>
  <c r="AC109" i="18" s="1"/>
  <c r="X56" i="22"/>
  <c r="Y18" i="22"/>
  <c r="Z22" i="22"/>
  <c r="AB22" i="22"/>
  <c r="AD22" i="22" s="1"/>
  <c r="Z23" i="22"/>
  <c r="AB23" i="22"/>
  <c r="AD23" i="22" s="1"/>
  <c r="Z26" i="22"/>
  <c r="AB26" i="22"/>
  <c r="AD26" i="22" s="1"/>
  <c r="AA34" i="22"/>
  <c r="AC34" i="22" s="1"/>
  <c r="Y34" i="22"/>
  <c r="N128" i="22"/>
  <c r="Z47" i="22"/>
  <c r="L40" i="22"/>
  <c r="AB41" i="22"/>
  <c r="AD41" i="22" s="1"/>
  <c r="Z74" i="18"/>
  <c r="Y106" i="18"/>
  <c r="AA106" i="18"/>
  <c r="AC106" i="18" s="1"/>
  <c r="Y110" i="18"/>
  <c r="AA110" i="18"/>
  <c r="AC110" i="18" s="1"/>
  <c r="AB42" i="18"/>
  <c r="AD42" i="18" s="1"/>
  <c r="Y59" i="22"/>
  <c r="Y15" i="22"/>
  <c r="AA15" i="22"/>
  <c r="AC15" i="22" s="1"/>
  <c r="Z21" i="22"/>
  <c r="AB35" i="22"/>
  <c r="AD35" i="22" s="1"/>
  <c r="Z38" i="22"/>
  <c r="AB38" i="22"/>
  <c r="AD38" i="22" s="1"/>
  <c r="AB101" i="22"/>
  <c r="AD101" i="22" s="1"/>
  <c r="Z101" i="22"/>
  <c r="Z126" i="22" s="1"/>
  <c r="Y106" i="22"/>
  <c r="AA106" i="22"/>
  <c r="AC106" i="22" s="1"/>
  <c r="AA111" i="22"/>
  <c r="AC111" i="22" s="1"/>
  <c r="Y111" i="22"/>
  <c r="AB115" i="22"/>
  <c r="AD115" i="22" s="1"/>
  <c r="AD126" i="22" s="1"/>
  <c r="Z115" i="22"/>
  <c r="Z122" i="22"/>
  <c r="AB122" i="22"/>
  <c r="Y27" i="22"/>
  <c r="AA27" i="22"/>
  <c r="AC27" i="22" s="1"/>
  <c r="AA48" i="22"/>
  <c r="AC48" i="22" s="1"/>
  <c r="AB117" i="18"/>
  <c r="AD117" i="18" s="1"/>
  <c r="AA36" i="22"/>
  <c r="AC36" i="22" s="1"/>
  <c r="Z70" i="22"/>
  <c r="AB70" i="22"/>
  <c r="AD70" i="22" s="1"/>
  <c r="AA92" i="22"/>
  <c r="AC92" i="22" s="1"/>
  <c r="Y92" i="22"/>
  <c r="L14" i="22"/>
  <c r="AB14" i="22" s="1"/>
  <c r="AD14" i="22" s="1"/>
  <c r="AA122" i="18"/>
  <c r="AC122" i="18" s="1"/>
  <c r="AB18" i="22"/>
  <c r="AD18" i="22" s="1"/>
  <c r="AA22" i="22"/>
  <c r="AC22" i="22" s="1"/>
  <c r="AA25" i="22"/>
  <c r="AC25" i="22" s="1"/>
  <c r="Y44" i="22"/>
  <c r="Y130" i="22" s="1"/>
  <c r="AB52" i="22"/>
  <c r="AD52" i="22" s="1"/>
  <c r="AB77" i="22"/>
  <c r="AD77" i="22" s="1"/>
  <c r="AB95" i="22"/>
  <c r="AD95" i="22" s="1"/>
  <c r="Y104" i="22"/>
  <c r="Y126" i="22" s="1"/>
  <c r="AA104" i="22"/>
  <c r="AC104" i="22" s="1"/>
  <c r="Y110" i="22"/>
  <c r="AA110" i="22"/>
  <c r="AC110" i="22" s="1"/>
  <c r="AC126" i="22" s="1"/>
  <c r="AB48" i="22"/>
  <c r="AD48" i="22" s="1"/>
  <c r="Y67" i="22"/>
  <c r="AA67" i="22"/>
  <c r="AC67" i="22" s="1"/>
  <c r="Y73" i="22"/>
  <c r="AA73" i="22"/>
  <c r="AC73" i="22" s="1"/>
  <c r="AB84" i="22"/>
  <c r="AD84" i="22" s="1"/>
  <c r="AA93" i="22"/>
  <c r="AC93" i="22" s="1"/>
  <c r="AA113" i="22"/>
  <c r="AC113" i="22" s="1"/>
  <c r="AA114" i="22"/>
  <c r="AC114" i="22" s="1"/>
  <c r="AB23" i="18" l="1"/>
  <c r="AD23" i="18" s="1"/>
  <c r="AD126" i="18" s="1"/>
  <c r="AB47" i="18"/>
  <c r="AD47" i="18" s="1"/>
  <c r="Z47" i="18"/>
  <c r="AD122" i="22"/>
  <c r="L128" i="22"/>
  <c r="AB40" i="22"/>
  <c r="AD40" i="22" s="1"/>
  <c r="AD130" i="22" s="1"/>
  <c r="AB56" i="22"/>
  <c r="AD56" i="22" s="1"/>
  <c r="Z56" i="22"/>
  <c r="AB56" i="18"/>
  <c r="X128" i="18"/>
  <c r="Z56" i="18"/>
  <c r="Y130" i="18"/>
  <c r="L128" i="18"/>
  <c r="Z44" i="18"/>
  <c r="Z130" i="18" s="1"/>
  <c r="AB44" i="18"/>
  <c r="AD44" i="18" s="1"/>
  <c r="Z130" i="22"/>
  <c r="R128" i="18"/>
  <c r="AD56" i="18" l="1"/>
  <c r="AD130" i="18" s="1"/>
  <c r="AB128" i="18"/>
  <c r="AB12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P4-Bappeda</author>
  </authors>
  <commentList>
    <comment ref="M84" authorId="0" shapeId="0" xr:uid="{00000000-0006-0000-0000-000001000000}">
      <text>
        <r>
          <rPr>
            <b/>
            <sz val="9"/>
            <color indexed="81"/>
            <rFont val="Tahoma"/>
            <family val="2"/>
          </rPr>
          <t>P4-Bappeda:</t>
        </r>
        <r>
          <rPr>
            <sz val="9"/>
            <color indexed="81"/>
            <rFont val="Tahoma"/>
            <family val="2"/>
          </rPr>
          <t xml:space="preserve">
maksudnya apa outputnya?? Kok bkn numerik
PEP BPKAD:
Target sudah dirubah yaa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P4-Bappeda</author>
  </authors>
  <commentList>
    <comment ref="M84" authorId="0" shapeId="0" xr:uid="{00000000-0006-0000-0400-000001000000}">
      <text>
        <r>
          <rPr>
            <b/>
            <sz val="9"/>
            <color indexed="81"/>
            <rFont val="Tahoma"/>
            <family val="2"/>
          </rPr>
          <t>P4-Bappeda:</t>
        </r>
        <r>
          <rPr>
            <sz val="9"/>
            <color indexed="81"/>
            <rFont val="Tahoma"/>
            <family val="2"/>
          </rPr>
          <t xml:space="preserve">
maksudnya apa outputnya?? Kok bkn numerik
PEP BPKAD:
Target sudah dirubah yaa</t>
        </r>
      </text>
    </comment>
  </commentList>
</comments>
</file>

<file path=xl/sharedStrings.xml><?xml version="1.0" encoding="utf-8"?>
<sst xmlns="http://schemas.openxmlformats.org/spreadsheetml/2006/main" count="2070" uniqueCount="421">
  <si>
    <t>I</t>
  </si>
  <si>
    <t>K</t>
  </si>
  <si>
    <t>II</t>
  </si>
  <si>
    <t>Program Pelayanan Administrasi Perkantoran</t>
  </si>
  <si>
    <t>Penyediaan jasa surat menyurat</t>
  </si>
  <si>
    <t>Penyediaan jasa komunikasi, sumber daya air dan listrik</t>
  </si>
  <si>
    <t>Terpeliharanya kebersihan gedung kantor</t>
  </si>
  <si>
    <t>Penyediaan jasa kebersihan kantor</t>
  </si>
  <si>
    <t>Terpenuhinya Kebutuhan ATK</t>
  </si>
  <si>
    <t>Penyediaan alat tulis kantor</t>
  </si>
  <si>
    <t>Terpenuhinya barang cetakan dan penggandaan</t>
  </si>
  <si>
    <t>Penyediaan barang cetakan dan penggandaan</t>
  </si>
  <si>
    <t>Penyediaan bahan bacaan dan peraturan perundang-undangan</t>
  </si>
  <si>
    <t>Terpenuhinya penyediaan makanan dan minuman</t>
  </si>
  <si>
    <t>Penyediaan makanan dan minuman</t>
  </si>
  <si>
    <t>Rapat-rapat koordinasi dan konsultasi ke luar daerah</t>
  </si>
  <si>
    <t>Program Peningkatan Sarana dan Prasarana Aparatur</t>
  </si>
  <si>
    <t>Pengadaan perlengkapan gedung kantor</t>
  </si>
  <si>
    <t>Pengadaan peralatan gedung kantor</t>
  </si>
  <si>
    <t>Pengadaan mebeleur</t>
  </si>
  <si>
    <t>Pengadaan rumah dinas/gedung kantor</t>
  </si>
  <si>
    <t>Pemeliharaan rutin/berkala gedung kantor</t>
  </si>
  <si>
    <t>Pemeliharaan rutin/berkala kendaraan dinas/operasional</t>
  </si>
  <si>
    <t>Pemeliharaan rutin/berkala perlengkapan gedung kantor</t>
  </si>
  <si>
    <t>Program Peningkatan Disiplin Aparatur</t>
  </si>
  <si>
    <t>Program Peningkatan Kapasitas Sumber Daya Aparatur</t>
  </si>
  <si>
    <t>Bimbingan teknis implementasi peraturan perundang-undangan</t>
  </si>
  <si>
    <t>Peningkatan Kemampuan Teknis Aparatur</t>
  </si>
  <si>
    <t>Program peningkatan pengembangan sistem pelaporan capaian kinerja dan keuangan</t>
  </si>
  <si>
    <t>Penyusunan laporan capaian kinerja dan ikhtisar realisasi kinerja SKPD</t>
  </si>
  <si>
    <t>Penyusunan pelaporan prognosis realisasi anggaran</t>
  </si>
  <si>
    <t>Penyusunan Rencana Kerja dan Anggaran SKPD</t>
  </si>
  <si>
    <t>Tersimpannya dokumen-dokumen pengelolaan keuangan daerah dalam bentuk digital</t>
  </si>
  <si>
    <t>Penyediaan data, dokumentasi, informatika dan komunikasi SKPD</t>
  </si>
  <si>
    <t>Tersusunnya Renstra SKPD Tahun 2014-2018</t>
  </si>
  <si>
    <t>Penyusunan Rencana Strategis SKPD</t>
  </si>
  <si>
    <t>Program peningkatan dan pengembangan pengelolaan keuangan daerah</t>
  </si>
  <si>
    <t>Penyusunan standar satuan harga</t>
  </si>
  <si>
    <t>Terlaksananya kegiatan penyusunan Kebijakan Akuntansi Pemerintah Daerah</t>
  </si>
  <si>
    <t>Penyusunan Kebijakan Akuntansi Pemerintah Daerah</t>
  </si>
  <si>
    <t>Tersusunnya Pedoman Tentang Sistem dan Prosedur Pengelolaan keuangan daerah Kota Serang</t>
  </si>
  <si>
    <t>Terlaksananya kegiatan penyusunan rancangan perda Tentang APBD, Nota keuangan dan Penelitian RKA/DPA</t>
  </si>
  <si>
    <t>Penyusunan rancangan peraturan daerah tentang APBD</t>
  </si>
  <si>
    <t>Penyusunan rancangan peraturan KDH tentang penjabaran APBD</t>
  </si>
  <si>
    <t>Penyusunan rancangan peraturan daerah tentang perubahan APBD</t>
  </si>
  <si>
    <t>Penyusunan rancangan peraturan KDH tentang Penjabaran Perubahan APBD</t>
  </si>
  <si>
    <t>Penyusunan rancangan peraturan daerah tentang pertanggungjawaban pelaksanaan APBD</t>
  </si>
  <si>
    <t>Tersusunnya buku rancangan peraturan KDH ttg pertanggungjawaban pelaksanaan APBD</t>
  </si>
  <si>
    <t>Penyusunan rancangan peraturan KDH tentang penjabaran pertanggungjawaban pelaksanaan APBD</t>
  </si>
  <si>
    <t>Terlaksananya kegiatan sosialisasi paket regulasi tentang pengelolaan keuangan daerah</t>
  </si>
  <si>
    <t>Sosialisasi paket regulasi tentang pengelolaan keuangan daerah</t>
  </si>
  <si>
    <t>Terlaksananya Bimbingan teknis implementasi paket regulasi tentang pengelolaan keuangan daerah</t>
  </si>
  <si>
    <t>Bimbingan teknis implementasi paket regulasi tentang pengelolaan keuangan daerah</t>
  </si>
  <si>
    <t xml:space="preserve">Terlaksananya kegiatan Pembinaan Wajib Pajak, Penyusunan Perwal Pajak ABT, Parkir dan PPJ Non PLN Sosialisasi Perwal Pajak ABT, Parkir dan PPJ Non PLN, Bulan Panutan, Evaluasi Pajak Daerah, Penghargaan Pajak Daerah, Pemuktahiran Data Wajib Pajak, Terlaksananya Kegiatan Louncing PBB P2, Updating Simpatda dan Terlaksananya Monitoring Kepatuhan Wajib Pajak                                                                                                                                                                                                                                                                                                                                                                                                                                                                                                                                                                                                                                                                                                                                                                                                                                                                                                                                                                                                                                                                                                                                                                                                                                                                                                                                                                                                                                                                                                                                                                                                             </t>
  </si>
  <si>
    <t>Intensifikasi dan ekstensifikasi sumber-sumber pendapatan daerah</t>
  </si>
  <si>
    <t>Terlaksananya kegiatan Pengelolaan sistem Adm Gaji PNS Kota serang, terlaksananya Rekonsiliasi data Taperum dan Taspen</t>
  </si>
  <si>
    <t>Pengelolaan Sistem administrasi Gaji PNS Kota Serang</t>
  </si>
  <si>
    <t>Tersusunya laporan hasil rekonsiliasi belanja bulanan dan triwulanan TA 2014</t>
  </si>
  <si>
    <t>Asistensi dan Evaluasi Laporan Keuangan dan Pertanggungjawaban Pengguna Anggaran</t>
  </si>
  <si>
    <t>Terlaksananya kegiatan Evaluasi Pendapatan dan Belanja SKPD</t>
  </si>
  <si>
    <t>Evaluasi Pendapatan dan Belanja SKPD</t>
  </si>
  <si>
    <t>Terarahnya Pelaksanaan Kegiatan dalam Pengelolaan APBD</t>
  </si>
  <si>
    <t>Terupdatenya sistem informasi pengelolaan keuangan daerah yang telah disesuaikan dengan peraturan pemerintah yang terbaru</t>
  </si>
  <si>
    <t>Pemeliharaan Sistem Informasi Pengelolaan Keuangan Daerah</t>
  </si>
  <si>
    <t>Terlaksananya pembuatan laporan rekapitulasi penerimaan, pengeluaran dan PFK setiap bulan</t>
  </si>
  <si>
    <t>Penyusunan Laporan Rekapitulasi Penerimaan, Pengeluaran dan PFK</t>
  </si>
  <si>
    <t>Pengelolaan dan Pemeliharaan Aset Pemerintah</t>
  </si>
  <si>
    <t>Terlaksananya Penyusunan laporan Keuangan Daerah yang Akuntabel</t>
  </si>
  <si>
    <t>Penyelesaian Kerugian daerah</t>
  </si>
  <si>
    <t>Terlaksananya bimbingan teknis Perencanaan Penganggaran</t>
  </si>
  <si>
    <t>Bimbingan Teknis Perencanaan Penganggaran</t>
  </si>
  <si>
    <t>Sosialisasi Pajak Daerah Non PBB P2 dan BPHTB</t>
  </si>
  <si>
    <t>Sosialisasi Pajak Daerah PBB P2 dan BPHTB</t>
  </si>
  <si>
    <t>05</t>
  </si>
  <si>
    <t>01</t>
  </si>
  <si>
    <t>02</t>
  </si>
  <si>
    <t>06</t>
  </si>
  <si>
    <t>08</t>
  </si>
  <si>
    <t>10</t>
  </si>
  <si>
    <t>11</t>
  </si>
  <si>
    <t>12</t>
  </si>
  <si>
    <t>Penyediaan Komponen instalasi listrik/penerangan bangunan kantor</t>
  </si>
  <si>
    <t>15</t>
  </si>
  <si>
    <t>17</t>
  </si>
  <si>
    <t>18</t>
  </si>
  <si>
    <t>20</t>
  </si>
  <si>
    <t>Rapat-rapat koordinasi dan konsultasi dalam daerah</t>
  </si>
  <si>
    <t>Pengadaan kendaraan dinas/Operasional</t>
  </si>
  <si>
    <t>07</t>
  </si>
  <si>
    <t>09</t>
  </si>
  <si>
    <t>22</t>
  </si>
  <si>
    <t>24</t>
  </si>
  <si>
    <t>26</t>
  </si>
  <si>
    <t>42</t>
  </si>
  <si>
    <t>03</t>
  </si>
  <si>
    <t>Pengadaan Pakaian Khusus hari-hari tertentu</t>
  </si>
  <si>
    <t>04</t>
  </si>
  <si>
    <t>Penyusunan Rencana Kerja</t>
  </si>
  <si>
    <t>Penyusunan sistem dan prosedur pengelolaan keuangan daerah</t>
  </si>
  <si>
    <t>Pengelolaan PBB P2</t>
  </si>
  <si>
    <t>Peningkatan Sumber Pendapatan lain-lain</t>
  </si>
  <si>
    <t>Permasalahan</t>
  </si>
  <si>
    <t>Rp.</t>
  </si>
  <si>
    <t>Rp</t>
  </si>
  <si>
    <t>-</t>
  </si>
  <si>
    <t>Penyusunan Pedoman  Pelaksanaan APBD</t>
  </si>
  <si>
    <t xml:space="preserve">Penyusunan Target Penerimaan Pajak Daerah </t>
  </si>
  <si>
    <t>Penagihan Pajak Daerah</t>
  </si>
  <si>
    <t xml:space="preserve">Analisa Zona Nilai Tanah </t>
  </si>
  <si>
    <t>Pembinaan Aparatur Pelaksana Pemungut Pajak Daerah</t>
  </si>
  <si>
    <t>Pendataan Pajak Daerah Non PBB P2 dan BPHTB</t>
  </si>
  <si>
    <t>Verifikasi Data ObjekPajak PBB P2 dan BPHTB</t>
  </si>
  <si>
    <t xml:space="preserve">Terpenuhinya kebutuhan benda pos  </t>
  </si>
  <si>
    <t xml:space="preserve">Terpenuhinya belanja telepon </t>
  </si>
  <si>
    <t xml:space="preserve">Terpenuhinya jasa pemeliharaan dan perizinan kendaraan dnas/operasional </t>
  </si>
  <si>
    <t>Tersedianya komponen instalasi listrik/penerangan bangunan kantor</t>
  </si>
  <si>
    <t>Terpenuhinya dana rapat-rapat koordinasi untuk luar daerah</t>
  </si>
  <si>
    <t>Terpenuhinya dana rapat-rapat koordinasi untuk dalam daerah</t>
  </si>
  <si>
    <t>Terlaksananya kegiatan pengadaan Kenderaan Dinas /Operasional</t>
  </si>
  <si>
    <t>Terlaksananya kegiatan pengadaan perlengkapan gdg ktr</t>
  </si>
  <si>
    <t>Terlaksananya kegiatan pengadaan peralatan gdg ktr</t>
  </si>
  <si>
    <t>Terlaksananya pengadaan mebeulair</t>
  </si>
  <si>
    <t>Terlaksananya pemeliharaan  gedung  kantor</t>
  </si>
  <si>
    <t>Terlaksananya pemeliharaan kendaraan operasional roda 4 dan roda 2</t>
  </si>
  <si>
    <t>Terlaksananya pemeliharaan perlengkapan gedung  ktr</t>
  </si>
  <si>
    <t>Terlaksananya penyekatan gedung kantor</t>
  </si>
  <si>
    <t>Pengiriman PNS DPKD untuk mengikuti  bimbingan Teknis implementasi peraturan perundang-undangan</t>
  </si>
  <si>
    <t>Terlaksananya Kegiatan Peningkatan Pelatihan Kantor Sendiri ( In House Training)</t>
  </si>
  <si>
    <t>Tersedianya buku laporan prognosis kota serang</t>
  </si>
  <si>
    <t>Terlaksananya Kegiatan Penyusunan Rencana Kerja SKPD</t>
  </si>
  <si>
    <t>Terlaksananya kegiatan penyusunan rancangan Perwal tentang APBD, Nota keuangan dan Penelitian RKA/DPA</t>
  </si>
  <si>
    <t>Terlaksananya kegiatan penyusunan APBD Perubahan, Nota keuangan dan Pengantar Nota keuangan</t>
  </si>
  <si>
    <t>Tersedianya informasi keuangan, terdiri dari LRA, Neraca,LAK, CaLK dan Perda Pertanggung Jawaban APBD</t>
  </si>
  <si>
    <t>Tersedianya update data objek pajak bumi dan bangunan di Kota Serang</t>
  </si>
  <si>
    <t>Tersedianya Laporan Pendapatan dari Sumber-sumber pendapatan lain</t>
  </si>
  <si>
    <t xml:space="preserve">Tersusunnya Dokumen target Penerimaan Pajak Daerah </t>
  </si>
  <si>
    <t>Tersusunnya  dokumen Zona Nilai Tanah diKota Serang yang telah dianalisis</t>
  </si>
  <si>
    <t>Meningkatnya wawasan Aparatur Pelaksana Pemungut Pajak Daerah</t>
  </si>
  <si>
    <t>Terlaksananya sosialisasi Pajak daerah PBB P2  dan BPHTB</t>
  </si>
  <si>
    <t>1.20</t>
  </si>
  <si>
    <t>Kode Rekening</t>
  </si>
  <si>
    <t>No</t>
  </si>
  <si>
    <r>
      <t xml:space="preserve">Indikator Kinerja Program </t>
    </r>
    <r>
      <rPr>
        <b/>
        <i/>
        <sz val="7"/>
        <color theme="1"/>
        <rFont val="Calibri"/>
        <family val="2"/>
        <scheme val="minor"/>
      </rPr>
      <t>(Outcome)</t>
    </r>
    <r>
      <rPr>
        <b/>
        <sz val="7"/>
        <color theme="1"/>
        <rFont val="Calibri"/>
        <family val="2"/>
        <scheme val="minor"/>
      </rPr>
      <t xml:space="preserve">/Kegiatan </t>
    </r>
    <r>
      <rPr>
        <b/>
        <i/>
        <sz val="7"/>
        <color theme="1"/>
        <rFont val="Calibri"/>
        <family val="2"/>
        <scheme val="minor"/>
      </rPr>
      <t>(Output)</t>
    </r>
  </si>
  <si>
    <t>14</t>
  </si>
  <si>
    <t>19</t>
  </si>
  <si>
    <t>29</t>
  </si>
  <si>
    <t>30</t>
  </si>
  <si>
    <t>31</t>
  </si>
  <si>
    <t>32</t>
  </si>
  <si>
    <t>33</t>
  </si>
  <si>
    <t>34</t>
  </si>
  <si>
    <t>35</t>
  </si>
  <si>
    <t>37</t>
  </si>
  <si>
    <t>38</t>
  </si>
  <si>
    <t>39</t>
  </si>
  <si>
    <t>43</t>
  </si>
  <si>
    <t>44</t>
  </si>
  <si>
    <t>48</t>
  </si>
  <si>
    <t>49</t>
  </si>
  <si>
    <t>52</t>
  </si>
  <si>
    <t>53</t>
  </si>
  <si>
    <t>54</t>
  </si>
  <si>
    <t>Rehabilitasi sedang/berat gedung kantor</t>
  </si>
  <si>
    <t>Terlaksananya Pembuatan DED dan Pembangunan Gedung Kantor</t>
  </si>
  <si>
    <t>Urusan/Bidang Urusan Pemerintahan Daerah dan Program/Kegiatan</t>
  </si>
  <si>
    <t>Realisasi Kinerja Pada Triwulan</t>
  </si>
  <si>
    <t>III</t>
  </si>
  <si>
    <t>IV</t>
  </si>
  <si>
    <t>Unit SKPD Penanggungjawab</t>
  </si>
  <si>
    <t>Upaya Mengatasi Solusi</t>
  </si>
  <si>
    <t>28</t>
  </si>
  <si>
    <t>Pemeliharaan rutin/berkala peralatan gedung kantor</t>
  </si>
  <si>
    <t>Terlaksananya pemeliharaan peralatan gedung  ktr</t>
  </si>
  <si>
    <t xml:space="preserve"> </t>
  </si>
  <si>
    <t>Target Renstra SKPD pada Tahun 2018 (Akhir Periode Renstra SKPD)</t>
  </si>
  <si>
    <t>12= 8+9+10+11</t>
  </si>
  <si>
    <t>13= 12/7x100</t>
  </si>
  <si>
    <t>14= 6+12</t>
  </si>
  <si>
    <t>15= 14/5x100</t>
  </si>
  <si>
    <t>Penyediaan Peralatan Rumah Tangga</t>
  </si>
  <si>
    <t>Tersedianya peralatan rumah tangga</t>
  </si>
  <si>
    <t>Tersedianya pakaian batik, pakaian seragam khusus dan olahraga</t>
  </si>
  <si>
    <t>Pengadaan Pakaian Dinas Harian (PDH) beserta kelengkapannya</t>
  </si>
  <si>
    <t>390 stell</t>
  </si>
  <si>
    <t>Penyusunan sistem informasi pengelolaan keuangan daerah</t>
  </si>
  <si>
    <t>Terlaksananya Sosialisasi dan Bimtek Penyusunan Sistem Informasi Pengelolaan Keuangan Daerah</t>
  </si>
  <si>
    <t xml:space="preserve">Updating data PBB P2 </t>
  </si>
  <si>
    <t>Terupdatenya data WP PBB P2</t>
  </si>
  <si>
    <t>47</t>
  </si>
  <si>
    <t>Pendistribusian dan pengendalian SPT PBB</t>
  </si>
  <si>
    <t>Penyampaian SPPT PBB sesuai dengan peruntukkannya</t>
  </si>
  <si>
    <t>56</t>
  </si>
  <si>
    <t>Monitoring dan Evaluasi PBB P2 dan BPHTB</t>
  </si>
  <si>
    <t>Tersusunnya laporan hasil Monitoring dan Evaluasi PBB P2 dan BPHTB</t>
  </si>
  <si>
    <t>58</t>
  </si>
  <si>
    <t>Evaluasi Penyusunan APBD</t>
  </si>
  <si>
    <t>Tercapainya penyusunan APBD yang sesuai dengan peraturan perundang-undangan yang berlaku</t>
  </si>
  <si>
    <t>59</t>
  </si>
  <si>
    <t>Pedoman Penyusunan APBD</t>
  </si>
  <si>
    <t>Terlaksananya Perumusan Rancangan Pedoman Penyusunan APBD</t>
  </si>
  <si>
    <t>62</t>
  </si>
  <si>
    <t>Pengembangan dan Fasilitasi TAPD</t>
  </si>
  <si>
    <t>Terlaksananya daya dukung TAPD dan kompetensi TAPD</t>
  </si>
  <si>
    <t>63</t>
  </si>
  <si>
    <t>Penyusunan LKPD</t>
  </si>
  <si>
    <t>Tersusunnya laporan realisasi APBD Akhir Tahun sebagai bahan audit BPK</t>
  </si>
  <si>
    <t>64</t>
  </si>
  <si>
    <t>Rekonsiliasi Realisasi Anggaran Belanja Daerah</t>
  </si>
  <si>
    <t>Tersusunnya laporan realisasi belanja bulanan</t>
  </si>
  <si>
    <t>65</t>
  </si>
  <si>
    <t>Rekonsiliasi Realisasi Anggaran Pendapatan  Daerah</t>
  </si>
  <si>
    <t>66</t>
  </si>
  <si>
    <t>Pembinaan Wajib Pajak</t>
  </si>
  <si>
    <t>Peningkatan Pendapatan Asli Daerah</t>
  </si>
  <si>
    <t>67</t>
  </si>
  <si>
    <t>Pengelolaan Pajak Reklame</t>
  </si>
  <si>
    <t>Tertib adminitrasi Papan reklame yang terpasang</t>
  </si>
  <si>
    <t>68</t>
  </si>
  <si>
    <t>Rekonsiliasi Pajak Bumi dan Bangunan</t>
  </si>
  <si>
    <t>Terlaksanannya Rekonsiliasi Pajak Bumi dan bangunan</t>
  </si>
  <si>
    <t>69</t>
  </si>
  <si>
    <t>Pemeriksaan dan monitoring kepatuhan wajib pajak</t>
  </si>
  <si>
    <t>Terlaksananya pemeriksaan dan monitoring kepada wajib pajak</t>
  </si>
  <si>
    <t>70</t>
  </si>
  <si>
    <t>Bulan Panutan dan Evaluasi Pajak Bumi dan bangunan</t>
  </si>
  <si>
    <t>Terlaksananya kegiatan Bulan Panutan dan Evaluasi PBB</t>
  </si>
  <si>
    <t>71</t>
  </si>
  <si>
    <t>Penghargaan pajak daerah</t>
  </si>
  <si>
    <t>Peningkatan kewajiban dalam membayar Pajak Daerah oleh WP</t>
  </si>
  <si>
    <t>Rata-rata Capaian Kinerja (%)</t>
  </si>
  <si>
    <t>Predikat Kinerja</t>
  </si>
  <si>
    <t>JUMLAH ANGGARAN DAN REALISASI DARI SELURUH PROGRAM</t>
  </si>
  <si>
    <t>TOTAL RATA-RATA CAPAIAN KINERJA DAN ANGGARAN DARI SELURUH PROGRAM (PROGRAM 1 S.D PROGRAM 6)</t>
  </si>
  <si>
    <t>PREDIKAT KINERJA DARI SELURUH PROGRAM (PROGRAM 1 S.D PROGRAM 6)</t>
  </si>
  <si>
    <t>Faktor pendorong keberhasilan kinerja:</t>
  </si>
  <si>
    <t>Faktor penghambat pencapaian kinerja:</t>
  </si>
  <si>
    <t>Tindak lanjut yang diperlukan dalam Triwulan berikutnya**):</t>
  </si>
  <si>
    <t>Tindak lanjut yang diperlukan dalam Renja SKPD berikutnya**):</t>
  </si>
  <si>
    <t>Disusun</t>
  </si>
  <si>
    <t>ADANG DARMAWAN</t>
  </si>
  <si>
    <t>NIP. 19690425 199010 1 001</t>
  </si>
  <si>
    <r>
      <t>Tersusunnya dokumen Penagihan</t>
    </r>
    <r>
      <rPr>
        <sz val="9"/>
        <color indexed="8"/>
        <rFont val="Arial Narrow"/>
        <family val="2"/>
      </rPr>
      <t xml:space="preserve"> Pajak Daerah</t>
    </r>
  </si>
  <si>
    <r>
      <t xml:space="preserve">Tersusunnya dokumen hasil </t>
    </r>
    <r>
      <rPr>
        <sz val="9"/>
        <color indexed="8"/>
        <rFont val="Arial Narrow"/>
        <family val="2"/>
      </rPr>
      <t>Verifikasi Data ObjekPajak PBB P2 dan BPHTB</t>
    </r>
  </si>
  <si>
    <r>
      <t>Jumlah Media sosialisasi Pajak Daerah</t>
    </r>
    <r>
      <rPr>
        <sz val="9"/>
        <color indexed="8"/>
        <rFont val="Arial Narrow"/>
        <family val="2"/>
      </rPr>
      <t xml:space="preserve"> Non PBB P2 dan BPHTB</t>
    </r>
  </si>
  <si>
    <t>Peningkatan disiplin aparatur</t>
  </si>
  <si>
    <t>Pelaksanaan tugas dan fungsi berjalan sesuai dengan yang diharapkan</t>
  </si>
  <si>
    <t>50</t>
  </si>
  <si>
    <t>Pendataan Pajak Daerah PBB P2 dan BPHTB</t>
  </si>
  <si>
    <t>72</t>
  </si>
  <si>
    <t>73</t>
  </si>
  <si>
    <t>74</t>
  </si>
  <si>
    <t>Tersedianya pakaian dinas harian, Limas, dan Korpri</t>
  </si>
  <si>
    <t>Tersusunnya dokumen hasil Pendataan Pajak Daerah Non PBB P2 dan BPHTB</t>
  </si>
  <si>
    <t>Pembinaan Aparatur Pemungut Retribusi</t>
  </si>
  <si>
    <t>Terlaksananya Pembinaan Aparatur Pemungut Retribusi</t>
  </si>
  <si>
    <t>Verifikasi Pelaporan dan Monitoring Kepatuhan Wajib Pajak Non PBB P2 dan BPHTB</t>
  </si>
  <si>
    <t>Terlaksananya verifikasi pelaporan dan monitoring kepatuhan wajib pajak Non PBB P2 dan BPHTB</t>
  </si>
  <si>
    <t>Peningkatan Objek Pajak PBB P2 dan BPHTB</t>
  </si>
  <si>
    <t>Teranalisanya Zona Nilai Tanah di Kota Serang</t>
  </si>
  <si>
    <t xml:space="preserve">Tersusunnya Laporan bahan penyusunan LPPD Kota Serang, Laporan bahan penyusunan LKPJ Kota Serang, Laporan Realisasi Fisik dan Keuangan SKPD, Laporan Keuangan Akhir Tahun, LAKIP SKPD, TAPKIN SKPD, Buku Selayang Pandang SKPD, Buku Profile SKPD, Laporan Belanja Fungsional </t>
  </si>
  <si>
    <t xml:space="preserve">Tersedianya SSH  dan  SSH Perubahan </t>
  </si>
  <si>
    <t>Terupdatenya Data Objek Pajak</t>
  </si>
  <si>
    <t>Pengadaan Pakaian Dinas beserta kelengkapannya</t>
  </si>
  <si>
    <t>Tersedianya pakaian dinas beserta perlengkapannya</t>
  </si>
  <si>
    <t>Terlaksananya proses pelayanan perkantoran berjalan sesuai dengan yang diharapkan</t>
  </si>
  <si>
    <t xml:space="preserve">Peningkatan SDM Aparatur yang memiliki kompetensi teknis yang diharapkan </t>
  </si>
  <si>
    <t>Peningkatan dan pengembangan sistem pelaporan capaian kinerja dan keuangan</t>
  </si>
  <si>
    <t>Tersedianya laporan keuangan berbasis akrual (dok)</t>
  </si>
  <si>
    <t>Tersedianya sistem pengelolaan keuangan daerah (sistem dan dok)</t>
  </si>
  <si>
    <t>Meningkatnya kemampuan kapasitas aparatur pengelola keuangan daerah (keg)</t>
  </si>
  <si>
    <t>Tersedianya data objek wajib pajak (OP)</t>
  </si>
  <si>
    <t>Tersedianya dokumen pendukung pendapatan pajak daerah (dokumen)</t>
  </si>
  <si>
    <t>Meningkatnya pendapatan pajak daerah (Rp)</t>
  </si>
  <si>
    <t>Tersedianya bahan bacaan untuk PNS DPKD</t>
  </si>
  <si>
    <t>1.21</t>
  </si>
  <si>
    <t>Penyusunan Pelaporan Keuangan Akhir Tahun</t>
  </si>
  <si>
    <t>Tersusunnya Laporan Keuangan Triwulan SKPD,Laporan Keuangan Triwulanan SKPKD, Laporan
Semesteran, Laporan Keuangan Unaudit,
Tersusunnya Laporan Keuangan Audit</t>
  </si>
  <si>
    <t>Tersusunnya DPA SKPD dan SKPKD TA 2017, RKA SKPD dan SKPKD Perubahan 2017, DPA SKPD dan SKPKD Perubahan 2018, RKA SKPD dan SKPKD 2018</t>
  </si>
  <si>
    <t>16</t>
  </si>
  <si>
    <t>Peningkatan Manajemen Aset/Barang Daerah</t>
  </si>
  <si>
    <t>Pengumpulan data aset tetap, rekonsiliasi data aset tetap, Inventaris BMD, Penilaian BMD dan Pengamanan BMD</t>
  </si>
  <si>
    <t>BPKAD</t>
  </si>
  <si>
    <t>- Terlaksananya monitoring BMD pada 31 SKPD   - tersusunnya laporan berkala pemeliharaan BMD pada 31 SKPD</t>
  </si>
  <si>
    <t>40</t>
  </si>
  <si>
    <t>Penggunaaan dan Pemanfaatan Aset</t>
  </si>
  <si>
    <t>- Terlaksanananya pemanfaatan Tanah dan bangunan - terlaksananya daftar status pengguna BMD  - Terlaksananya Penghapusan dan pemindatanganan
BMD  - Terlaksananya bimtek penggunaan dan pemanfaatan</t>
  </si>
  <si>
    <t>1.22</t>
  </si>
  <si>
    <t>Program Pembinaan dan Pengelolaan Barang Daerah</t>
  </si>
  <si>
    <t>Cakupan Pengelolaan Barang Daerah</t>
  </si>
  <si>
    <t>Penyusunan Data dan Informasi Kebutuhan BMD</t>
  </si>
  <si>
    <t>- terverifikasikannya data RKBU, RKPBU, DKBU  - tersusunnya data DKPBU pada 30 SKPD   - tersusunnya data DKBMD dan DKPBMD</t>
  </si>
  <si>
    <t>Kepala BPKAD</t>
  </si>
  <si>
    <t>A</t>
  </si>
  <si>
    <t>Penyediaan jasa pemeliharaan dan perizinan kendaraan dinas/operasional</t>
  </si>
  <si>
    <t>21</t>
  </si>
  <si>
    <t>Penyediaan Operasional UPT PBB P2 Kec. Cipocok Jaya</t>
  </si>
  <si>
    <t>Tersedianya Operasional UPT PBB P2 Kec. Cipocok Jaya</t>
  </si>
  <si>
    <t>Penyediaan Operasional UPT PBB P2 Kec. Serang</t>
  </si>
  <si>
    <t>Tersedianya Operasional UPT PBB P2 Kec. Serang</t>
  </si>
  <si>
    <t>Pengelolaan Barang Milik Daerah</t>
  </si>
  <si>
    <t>Tersedianya Data Hasil Inventarisasi BMD</t>
  </si>
  <si>
    <t>BADAN PENGELOLAAN KEUANGAN DAN ASET DAERAH KOTA SERANG</t>
  </si>
  <si>
    <t>Lampiran 8</t>
  </si>
  <si>
    <t xml:space="preserve">LAPORAN KEMAJUAN PER TRIWULANAN </t>
  </si>
  <si>
    <t xml:space="preserve">DANA ALOKASI KHUSUS (DAK) </t>
  </si>
  <si>
    <t>Provinsi</t>
  </si>
  <si>
    <t>: Banten</t>
  </si>
  <si>
    <t>Kab/Kota</t>
  </si>
  <si>
    <t>: Kota Serang</t>
  </si>
  <si>
    <t>SKPD</t>
  </si>
  <si>
    <t>: Badan Pengelolaan Keuangan dan Aset Daerah</t>
  </si>
  <si>
    <t>Bidang</t>
  </si>
  <si>
    <t>: Pengelolaan Keuangan dan Aset Daerah</t>
  </si>
  <si>
    <t>Jenis Kegiatan (Bidang/Kegiatan)</t>
  </si>
  <si>
    <t>Perencanaan Kegiatan</t>
  </si>
  <si>
    <t>Realisasi Pelaksanaan Kegiatan menurut Sumber Anggaran (Rp)</t>
  </si>
  <si>
    <t>Realisasi Pelaksanaan Kegiatan menurut Pengadaan (Rp)</t>
  </si>
  <si>
    <t>Capaian</t>
  </si>
  <si>
    <t>Kesesuaian Sasaran dan Lokasi dengan RKPD</t>
  </si>
  <si>
    <t>Kesesuaian antara DPA SKPD dengan Petunjuk Teknis</t>
  </si>
  <si>
    <t>Kodefikasi Masalah</t>
  </si>
  <si>
    <t>Satuan</t>
  </si>
  <si>
    <t>Volume</t>
  </si>
  <si>
    <t>Jumlah Penerimaan Manfaat (*)</t>
  </si>
  <si>
    <t>Jumlah Anggaran (Rp)</t>
  </si>
  <si>
    <t>DAK Murni</t>
  </si>
  <si>
    <t>Pendamping</t>
  </si>
  <si>
    <t xml:space="preserve">Jumlah </t>
  </si>
  <si>
    <t>Swakelola (Rp)</t>
  </si>
  <si>
    <t>Kontrak (Rp)</t>
  </si>
  <si>
    <t>Jumlah (Rp)</t>
  </si>
  <si>
    <t>Fisik (%)</t>
  </si>
  <si>
    <t>Keuangan (%)</t>
  </si>
  <si>
    <t>Ya</t>
  </si>
  <si>
    <t>Tidak</t>
  </si>
  <si>
    <t>Total Biaya</t>
  </si>
  <si>
    <t>16=14/8*100</t>
  </si>
  <si>
    <t>NIHIL</t>
  </si>
  <si>
    <t>Kota Serang</t>
  </si>
  <si>
    <t>Lampiran 7</t>
  </si>
  <si>
    <t>LAPORAN PELAKSANAAN RENJA BANTUAN KEUANGAN</t>
  </si>
  <si>
    <t>PERIODE PELAKSANAAN TAHUN 2017</t>
  </si>
  <si>
    <r>
      <t>Indikator Kinerja Program (</t>
    </r>
    <r>
      <rPr>
        <i/>
        <sz val="11"/>
        <color theme="1"/>
        <rFont val="Calibri"/>
        <family val="2"/>
        <scheme val="minor"/>
      </rPr>
      <t xml:space="preserve">Outcome)/ </t>
    </r>
    <r>
      <rPr>
        <sz val="11"/>
        <color theme="1"/>
        <rFont val="Calibri"/>
        <family val="2"/>
        <scheme val="minor"/>
      </rPr>
      <t>Kegiatan (</t>
    </r>
    <r>
      <rPr>
        <i/>
        <sz val="11"/>
        <color theme="1"/>
        <rFont val="Calibri"/>
        <family val="2"/>
        <scheme val="minor"/>
      </rPr>
      <t>Output</t>
    </r>
    <r>
      <rPr>
        <sz val="11"/>
        <color theme="1"/>
        <rFont val="Calibri"/>
        <family val="2"/>
        <scheme val="minor"/>
      </rPr>
      <t>)</t>
    </r>
  </si>
  <si>
    <t>Realisasi Capaian Kinerja Renstra SKPD s.d Renja SKPD Tahun Lalu (2015)</t>
  </si>
  <si>
    <t>Target Kinerja dan Anggaran Renja SKPD Tahun Berjalan yang Dievaluasi (Tahun 2016)</t>
  </si>
  <si>
    <t>Realisasi Capaian Kinerja dan Anggaran Renja SKPD yang dievaluasi (2016)</t>
  </si>
  <si>
    <t>Tingkat Capaian Kinerja dan Realisasi Anggaran Renja SKPD Tahun 2016 (%)</t>
  </si>
  <si>
    <t>Upaya Mengatasi/Solusi</t>
  </si>
  <si>
    <t>11 = 7+8+9+10</t>
  </si>
  <si>
    <t>12 = 11/6x100</t>
  </si>
  <si>
    <t>Lampiran 5</t>
  </si>
  <si>
    <t>BADAN PENGELOLAAN KEUANGAN DAN ASET DAERAH</t>
  </si>
  <si>
    <t>TRIWULAN II TAHUN ANGGARAN 2017</t>
  </si>
  <si>
    <t>No. SP DIPA</t>
  </si>
  <si>
    <t>Kode dan  Fungsi/Sub Fungsi/Program/Kegiatan</t>
  </si>
  <si>
    <t>Anggaran</t>
  </si>
  <si>
    <t>Penyerapan</t>
  </si>
  <si>
    <t>Indikator Kinerja Keluaran (Outputs)</t>
  </si>
  <si>
    <t>Instansi Penanggungjawab *)</t>
  </si>
  <si>
    <t>Lokasi</t>
  </si>
  <si>
    <t>Kendala</t>
  </si>
  <si>
    <t>Tindak Lanjut Yang Diperlukan</t>
  </si>
  <si>
    <t>Pihak yang diharapkan dapat membantu menyelesaikan masalah</t>
  </si>
  <si>
    <t>No.Loan</t>
  </si>
  <si>
    <t>PHLN</t>
  </si>
  <si>
    <t>PNBP</t>
  </si>
  <si>
    <t>Rupiah Murni</t>
  </si>
  <si>
    <t>TOTAL</t>
  </si>
  <si>
    <t>Sasaran/Target (S/T)</t>
  </si>
  <si>
    <t>Realisasi ('R)</t>
  </si>
  <si>
    <t>Narasi</t>
  </si>
  <si>
    <t>S/T</t>
  </si>
  <si>
    <t>R</t>
  </si>
  <si>
    <t>Rupiah</t>
  </si>
  <si>
    <t>(%)</t>
  </si>
  <si>
    <t>N I H I L</t>
  </si>
  <si>
    <t>LAPORAN KONSOLIDASI PROGRAM DIRINCI MENURUT KEGIATAN</t>
  </si>
  <si>
    <t>Serang,  5 Januari 2018</t>
  </si>
  <si>
    <t>TRIWULAN IV TAHUN ANGGAGAN 2017</t>
  </si>
  <si>
    <t>Lampiran 4</t>
  </si>
  <si>
    <t xml:space="preserve">Permasalahan </t>
  </si>
  <si>
    <t>Solusi</t>
  </si>
  <si>
    <t>kurangnya serapan anggaran terletak pada kode rekening belanja jasa narasumber, karena adanya pengurangan jumlah hari pelaksanaan pembinaan dari 3 hari menjadi 2 hari</t>
  </si>
  <si>
    <t>akan lebih diperhatikan kembali untuk tahun yang akan datang</t>
  </si>
  <si>
    <t>serapan anggaran hanya 64,19% dikarenakan untuk penilaian individu kelengkapan data yang diserahkan oleh wajib pajak sulit untuk di dapatkan serta adanya efisiensi anggaran</t>
  </si>
  <si>
    <t>akan dilakukan penilaian individu kembali di TA.2018</t>
  </si>
  <si>
    <t>penyerapan anggaran hanya 73,17% dikarenakan adanya efisiensi untuk belanja perjalanan dinas luar daerah dan belanja jasa narasumber/penceramah</t>
  </si>
  <si>
    <t>akan disesuaikan untuk tahun yang akan datang</t>
  </si>
  <si>
    <t>serapan anggaran hanya 48,95% hal ini karena rekonsiliasi verifikasi piutang tahun 2017 tidak dilaksanakan disebabkan data verifikasi piutang sampai 31 desember belum selesai</t>
  </si>
  <si>
    <t>akan ditindaklanjuti penganggaran tahun 2018</t>
  </si>
  <si>
    <t>EVALUASI PELAKSANAAN PROGRAM DAN KEGIATAN OPD TAHUN 2018</t>
  </si>
  <si>
    <t>Realisasi Capaian Kinerja Renstra SKPD s.d Renja SKPD Tahun Lalu (2017)</t>
  </si>
  <si>
    <t>Target Kinerja dan Anggaran Renja SKPD Tahun Berjalan yang dievaluasi (Tahun 2018)</t>
  </si>
  <si>
    <t>Realisasi Capaian Kinerja dan Anggaran  Renja SKPD yang dievaluasi ( 2018)</t>
  </si>
  <si>
    <t xml:space="preserve">Tingkat Capaian Kinerja dan Realisasi Anggaran Renja SKPD Tahun 2018 (%) </t>
  </si>
  <si>
    <t>Realisasi Kinerja dan Anggaran Renstra SKPD s/d Tahun 2018 (Akhir Tahun Pelaksanaan Renja SKPD Tahun 2018)</t>
  </si>
  <si>
    <t>Tingkat Capaian Kinerja dan Realisasi Anggaran Renstra SKPD s/d tahun 2018 (%)</t>
  </si>
  <si>
    <t>18 Roda 4,40 Roda 2</t>
  </si>
  <si>
    <t>2 Gedung</t>
  </si>
  <si>
    <t>16 Roda 4, 33 Roda 2</t>
  </si>
  <si>
    <t xml:space="preserve">2 </t>
  </si>
  <si>
    <t xml:space="preserve">6 </t>
  </si>
  <si>
    <t xml:space="preserve">3 </t>
  </si>
  <si>
    <t>51</t>
  </si>
  <si>
    <t>Tersedianya dokumen hasil Verifikasi Data Objek Pajak Non PBB P2 dan BPHTB</t>
  </si>
  <si>
    <t>Verifikasi Data ObjekPajak Non PBB P2 dan BPHTB</t>
  </si>
  <si>
    <t>1 dokumen</t>
  </si>
  <si>
    <t xml:space="preserve">55 spanduk, 5 baliho, 8x penayangan siaran radio, 4 keg </t>
  </si>
  <si>
    <t xml:space="preserve">55 spanduk, 5 baliho, 8x penayangan siaran radio, 3 keg </t>
  </si>
  <si>
    <t>55</t>
  </si>
  <si>
    <t>Monitoring dan Evaluasi Non PBB P2 dan BPHTB</t>
  </si>
  <si>
    <t>Tersusunnya laporan hasil Monitoring dan Evaluasi Non PBB P2 dan BPHTB</t>
  </si>
  <si>
    <t>9 Dok(30.000 OP masal,158 OP ind)</t>
  </si>
  <si>
    <t>4.500 Op Massal, 108 Op Individu)</t>
  </si>
  <si>
    <t>2.000 Op Massal, 50 Op Individu)</t>
  </si>
  <si>
    <t>7 Dokumen, 4.500 Op Massal, 108 Op Individu</t>
  </si>
  <si>
    <t xml:space="preserve">11 kgt, 1 sistem PBB P2 </t>
  </si>
  <si>
    <t>Meningkatnya Pendapatan Pajak daerah, Tersusunnya Perwal Pajak ABT, Parkir dan PPJ Non PLN, Tersosialisasikannya Perwal Pajak ABT, Parkir dan PPJ Non PLN,  Terlaksananya Kegiatan Louncing PBB P2 , Ter up datenya sistem Pajak daerah, Tersedianya data hasil monitoring kepatuhan wajib Pajak</t>
  </si>
  <si>
    <t>Peningkatan Akuntabilitas Laporan Keuangan Daerah</t>
  </si>
  <si>
    <t xml:space="preserve">Tersusunnya Dokumen Surat Keterangan Tanggungjawab Mutlak (SKTJM) dan Berita Acara Penyelesaian Kerugian daerah Pemerintah Kota Serang Masa Sidang MPTGR </t>
  </si>
  <si>
    <t>Tersedianya rekonsiliasi penerimaan pendapatan daerah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</si>
</sst>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_(* #,##0.00_);_(* \(#,##0.00\);_(* &quot;-&quot;_);_(@_)"/>
    <numFmt numFmtId="168" formatCode="[$-F800]dddd\,\ mmmm\ dd\,\ yyyy"/>
  </numFmts>
  <fonts count="42"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scheme val="minor"/>
    </font>
    <font>
      <sz val="11"/>
      <color theme="1"/>
      <name val="Calibri"/>
      <family val="2"/>
      <charset val="1"/>
      <scheme val="minor"/>
    </font>
    <font>
      <sz val="10"/>
      <color indexed="8"/>
      <name val="Arial"/>
      <family val="2"/>
    </font>
    <font>
      <b/>
      <sz val="11"/>
      <color theme="1"/>
      <name val="Calibri"/>
      <family val="2"/>
      <scheme val="minor"/>
    </font>
    <font>
      <sz val="11"/>
      <color indexed="8"/>
      <name val="Calibri"/>
      <family val="2"/>
      <charset val="1"/>
    </font>
    <font>
      <sz val="11"/>
      <color indexed="8"/>
      <name val="Calibri"/>
      <family val="2"/>
    </font>
    <font>
      <sz val="7"/>
      <color theme="1"/>
      <name val="Calibri"/>
      <family val="2"/>
      <scheme val="minor"/>
    </font>
    <font>
      <b/>
      <sz val="7"/>
      <color theme="1"/>
      <name val="Calibri"/>
      <family val="2"/>
      <scheme val="minor"/>
    </font>
    <font>
      <b/>
      <i/>
      <sz val="7"/>
      <color theme="1"/>
      <name val="Calibri"/>
      <family val="2"/>
      <scheme val="minor"/>
    </font>
    <font>
      <b/>
      <sz val="14"/>
      <color theme="1"/>
      <name val="Calibri"/>
      <family val="2"/>
      <scheme val="minor"/>
    </font>
    <font>
      <b/>
      <sz val="11"/>
      <color theme="1"/>
      <name val="Book Antiqua"/>
      <family val="1"/>
    </font>
    <font>
      <b/>
      <u/>
      <sz val="10"/>
      <color theme="1"/>
      <name val="Book Antiqua"/>
      <family val="1"/>
    </font>
    <font>
      <b/>
      <sz val="10"/>
      <color theme="1"/>
      <name val="Book Antiqua"/>
      <family val="1"/>
    </font>
    <font>
      <sz val="9"/>
      <color theme="1"/>
      <name val="Arial Narrow"/>
      <family val="2"/>
    </font>
    <font>
      <b/>
      <sz val="9"/>
      <color indexed="8"/>
      <name val="Arial Narrow"/>
      <family val="2"/>
    </font>
    <font>
      <b/>
      <sz val="9"/>
      <color theme="1"/>
      <name val="Arial Narrow"/>
      <family val="2"/>
    </font>
    <font>
      <b/>
      <sz val="9"/>
      <name val="Arial Narrow"/>
      <family val="2"/>
    </font>
    <font>
      <sz val="9"/>
      <color indexed="8"/>
      <name val="Arial Narrow"/>
      <family val="2"/>
    </font>
    <font>
      <sz val="9"/>
      <color rgb="FF000000"/>
      <name val="Arial Narrow"/>
      <family val="2"/>
    </font>
    <font>
      <sz val="9"/>
      <name val="Arial Narrow"/>
      <family val="2"/>
    </font>
    <font>
      <sz val="9"/>
      <color rgb="FFFF0000"/>
      <name val="Arial Narrow"/>
      <family val="2"/>
    </font>
    <font>
      <b/>
      <sz val="9"/>
      <color rgb="FFFF0000"/>
      <name val="Arial Narrow"/>
      <family val="2"/>
    </font>
    <font>
      <sz val="9"/>
      <color indexed="81"/>
      <name val="Tahoma"/>
      <family val="2"/>
    </font>
    <font>
      <b/>
      <sz val="9"/>
      <color indexed="81"/>
      <name val="Tahoma"/>
      <family val="2"/>
    </font>
    <font>
      <b/>
      <sz val="7"/>
      <color indexed="8"/>
      <name val="Calibri"/>
      <family val="2"/>
      <scheme val="minor"/>
    </font>
    <font>
      <sz val="7"/>
      <color indexed="8"/>
      <name val="Calibri"/>
      <family val="2"/>
      <scheme val="minor"/>
    </font>
    <font>
      <sz val="7"/>
      <color rgb="FFFF0000"/>
      <name val="Calibri"/>
      <family val="2"/>
      <scheme val="minor"/>
    </font>
    <font>
      <b/>
      <sz val="7"/>
      <color rgb="FFFF0000"/>
      <name val="Calibri"/>
      <family val="2"/>
      <scheme val="minor"/>
    </font>
    <font>
      <b/>
      <sz val="11"/>
      <color rgb="FFFF0000"/>
      <name val="Calibri"/>
      <family val="2"/>
      <scheme val="minor"/>
    </font>
    <font>
      <b/>
      <sz val="9"/>
      <color rgb="FF000000"/>
      <name val="Arial Narrow"/>
      <family val="2"/>
    </font>
    <font>
      <b/>
      <sz val="7"/>
      <name val="Calibri"/>
      <family val="2"/>
      <scheme val="minor"/>
    </font>
    <font>
      <b/>
      <sz val="12"/>
      <color theme="1"/>
      <name val="Calibri"/>
      <family val="2"/>
      <scheme val="minor"/>
    </font>
    <font>
      <i/>
      <sz val="11"/>
      <color theme="1"/>
      <name val="Calibri"/>
      <family val="2"/>
      <scheme val="minor"/>
    </font>
    <font>
      <sz val="10"/>
      <name val="Arial"/>
      <family val="2"/>
    </font>
    <font>
      <sz val="9"/>
      <color theme="7" tint="-0.499984740745262"/>
      <name val="Arial Narrow"/>
      <family val="2"/>
    </font>
    <font>
      <b/>
      <sz val="9"/>
      <color theme="7" tint="-0.499984740745262"/>
      <name val="Arial Narrow"/>
      <family val="2"/>
    </font>
    <font>
      <sz val="8"/>
      <color indexed="8"/>
      <name val="Calibri"/>
      <family val="2"/>
      <scheme val="minor"/>
    </font>
    <font>
      <sz val="8"/>
      <color theme="1"/>
      <name val="Calibri"/>
      <family val="2"/>
      <scheme val="minor"/>
    </font>
    <font>
      <sz val="10"/>
      <color indexed="8"/>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00B0F0"/>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0">
    <xf numFmtId="0" fontId="0" fillId="0" borderId="0"/>
    <xf numFmtId="0" fontId="4" fillId="0" borderId="0"/>
    <xf numFmtId="0" fontId="3" fillId="0" borderId="0"/>
    <xf numFmtId="165" fontId="4" fillId="0" borderId="0" applyFont="0" applyFill="0" applyBorder="0" applyAlignment="0" applyProtection="0"/>
    <xf numFmtId="0" fontId="5" fillId="0" borderId="0">
      <alignment vertical="top"/>
    </xf>
    <xf numFmtId="165" fontId="7"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0" fontId="4" fillId="0" borderId="0"/>
    <xf numFmtId="164" fontId="7" fillId="0" borderId="0" applyFont="0" applyFill="0" applyBorder="0" applyAlignment="0" applyProtection="0"/>
    <xf numFmtId="164" fontId="4" fillId="0" borderId="0" applyFont="0" applyFill="0" applyBorder="0" applyAlignment="0" applyProtection="0"/>
    <xf numFmtId="9" fontId="3" fillId="0" borderId="0" applyFont="0" applyFill="0" applyBorder="0" applyAlignment="0" applyProtection="0"/>
    <xf numFmtId="0" fontId="5" fillId="0" borderId="0">
      <alignment vertical="top"/>
    </xf>
    <xf numFmtId="0" fontId="5" fillId="0" borderId="0">
      <alignment vertical="top"/>
    </xf>
    <xf numFmtId="0" fontId="3" fillId="0" borderId="0"/>
    <xf numFmtId="165" fontId="3" fillId="0" borderId="0" applyFont="0" applyFill="0" applyBorder="0" applyAlignment="0" applyProtection="0"/>
    <xf numFmtId="164" fontId="3" fillId="0" borderId="0" applyFont="0" applyFill="0" applyBorder="0" applyAlignment="0" applyProtection="0"/>
    <xf numFmtId="164" fontId="36" fillId="0" borderId="0" applyFont="0" applyFill="0" applyBorder="0" applyAlignment="0" applyProtection="0"/>
    <xf numFmtId="9" fontId="36" fillId="0" borderId="0" applyFont="0" applyFill="0" applyBorder="0" applyAlignment="0" applyProtection="0"/>
    <xf numFmtId="0" fontId="1" fillId="0" borderId="0"/>
  </cellStyleXfs>
  <cellXfs count="604">
    <xf numFmtId="0" fontId="0" fillId="0" borderId="0" xfId="0"/>
    <xf numFmtId="0" fontId="4" fillId="0" borderId="0" xfId="1"/>
    <xf numFmtId="0" fontId="9" fillId="0" borderId="0" xfId="0" applyFont="1"/>
    <xf numFmtId="0" fontId="9" fillId="0" borderId="0" xfId="0" applyFont="1" applyAlignment="1">
      <alignment vertical="top"/>
    </xf>
    <xf numFmtId="164" fontId="9" fillId="0" borderId="0" xfId="0" applyNumberFormat="1" applyFont="1" applyAlignment="1">
      <alignment horizontal="right"/>
    </xf>
    <xf numFmtId="164" fontId="9" fillId="0" borderId="0" xfId="0" applyNumberFormat="1" applyFont="1" applyAlignment="1">
      <alignment horizontal="right" vertical="top"/>
    </xf>
    <xf numFmtId="164" fontId="9" fillId="4" borderId="0" xfId="0" applyNumberFormat="1" applyFont="1" applyFill="1" applyAlignment="1">
      <alignment horizontal="right"/>
    </xf>
    <xf numFmtId="9" fontId="9" fillId="0" borderId="0" xfId="0" applyNumberFormat="1" applyFont="1" applyAlignment="1">
      <alignment horizontal="center"/>
    </xf>
    <xf numFmtId="0" fontId="9" fillId="0" borderId="0" xfId="0" applyFont="1" applyFill="1" applyAlignment="1">
      <alignment horizontal="center"/>
    </xf>
    <xf numFmtId="0" fontId="9" fillId="0" borderId="0" xfId="0" applyFont="1" applyFill="1" applyAlignment="1">
      <alignment horizontal="right"/>
    </xf>
    <xf numFmtId="164" fontId="9" fillId="0" borderId="0" xfId="0" applyNumberFormat="1" applyFont="1" applyAlignment="1">
      <alignment horizontal="center"/>
    </xf>
    <xf numFmtId="164" fontId="9" fillId="0" borderId="0" xfId="0" applyNumberFormat="1" applyFont="1" applyFill="1" applyAlignment="1">
      <alignment horizontal="center" wrapText="1"/>
    </xf>
    <xf numFmtId="164" fontId="9" fillId="0" borderId="0" xfId="0" applyNumberFormat="1" applyFont="1" applyFill="1" applyAlignment="1">
      <alignment horizontal="right"/>
    </xf>
    <xf numFmtId="0" fontId="16" fillId="8" borderId="6" xfId="0" applyFont="1" applyFill="1" applyBorder="1" applyAlignment="1">
      <alignment vertical="top"/>
    </xf>
    <xf numFmtId="0" fontId="17" fillId="8" borderId="6" xfId="4" quotePrefix="1" applyFont="1" applyFill="1" applyBorder="1" applyAlignment="1">
      <alignment vertical="top" wrapText="1"/>
    </xf>
    <xf numFmtId="0" fontId="17" fillId="8" borderId="6" xfId="4" applyFont="1" applyFill="1" applyBorder="1" applyAlignment="1">
      <alignment vertical="top" wrapText="1"/>
    </xf>
    <xf numFmtId="9" fontId="17" fillId="8" borderId="6" xfId="1" applyNumberFormat="1" applyFont="1" applyFill="1" applyBorder="1" applyAlignment="1">
      <alignment horizontal="left" vertical="top" wrapText="1"/>
    </xf>
    <xf numFmtId="164" fontId="17" fillId="8" borderId="6" xfId="1" applyNumberFormat="1" applyFont="1" applyFill="1" applyBorder="1" applyAlignment="1">
      <alignment horizontal="center" vertical="top" wrapText="1"/>
    </xf>
    <xf numFmtId="164" fontId="18" fillId="8" borderId="6" xfId="0" applyNumberFormat="1" applyFont="1" applyFill="1" applyBorder="1" applyAlignment="1">
      <alignment horizontal="right" vertical="top"/>
    </xf>
    <xf numFmtId="164" fontId="18" fillId="8" borderId="6" xfId="1" applyNumberFormat="1" applyFont="1" applyFill="1" applyBorder="1" applyAlignment="1">
      <alignment horizontal="right" vertical="top" wrapText="1"/>
    </xf>
    <xf numFmtId="164" fontId="18" fillId="8" borderId="6" xfId="0" applyNumberFormat="1" applyFont="1" applyFill="1" applyBorder="1" applyAlignment="1">
      <alignment horizontal="center" vertical="top" wrapText="1"/>
    </xf>
    <xf numFmtId="164" fontId="18" fillId="8" borderId="6" xfId="0" applyNumberFormat="1" applyFont="1" applyFill="1" applyBorder="1" applyAlignment="1">
      <alignment horizontal="center" vertical="top"/>
    </xf>
    <xf numFmtId="164" fontId="19" fillId="8" borderId="6" xfId="0" applyNumberFormat="1" applyFont="1" applyFill="1" applyBorder="1" applyAlignment="1">
      <alignment horizontal="center" vertical="top"/>
    </xf>
    <xf numFmtId="2" fontId="19" fillId="8" borderId="6" xfId="0" applyNumberFormat="1" applyFont="1" applyFill="1" applyBorder="1" applyAlignment="1">
      <alignment horizontal="center" vertical="top"/>
    </xf>
    <xf numFmtId="2" fontId="19" fillId="8" borderId="6" xfId="0" applyNumberFormat="1" applyFont="1" applyFill="1" applyBorder="1" applyAlignment="1">
      <alignment horizontal="right" vertical="top"/>
    </xf>
    <xf numFmtId="0" fontId="18" fillId="8" borderId="6" xfId="0" applyFont="1" applyFill="1" applyBorder="1" applyAlignment="1">
      <alignment horizontal="center" vertical="top" wrapText="1"/>
    </xf>
    <xf numFmtId="0" fontId="16" fillId="0" borderId="6" xfId="0" applyFont="1" applyBorder="1"/>
    <xf numFmtId="0" fontId="20" fillId="0" borderId="6" xfId="4" quotePrefix="1" applyFont="1" applyFill="1" applyBorder="1" applyAlignment="1">
      <alignment vertical="top" wrapText="1"/>
    </xf>
    <xf numFmtId="0" fontId="20" fillId="0" borderId="6" xfId="4" applyFont="1" applyFill="1" applyBorder="1" applyAlignment="1">
      <alignment horizontal="left" vertical="top" wrapText="1"/>
    </xf>
    <xf numFmtId="0" fontId="20" fillId="0" borderId="6" xfId="1" applyFont="1" applyBorder="1" applyAlignment="1">
      <alignment horizontal="left" vertical="top" wrapText="1"/>
    </xf>
    <xf numFmtId="164" fontId="20" fillId="4" borderId="6" xfId="1" applyNumberFormat="1" applyFont="1" applyFill="1" applyBorder="1" applyAlignment="1">
      <alignment horizontal="center" vertical="top" wrapText="1"/>
    </xf>
    <xf numFmtId="164" fontId="16" fillId="4" borderId="6" xfId="0" applyNumberFormat="1" applyFont="1" applyFill="1" applyBorder="1" applyAlignment="1">
      <alignment vertical="top"/>
    </xf>
    <xf numFmtId="164" fontId="16" fillId="0" borderId="6" xfId="0" applyNumberFormat="1" applyFont="1" applyFill="1" applyBorder="1" applyAlignment="1">
      <alignment horizontal="right" vertical="top"/>
    </xf>
    <xf numFmtId="164" fontId="20" fillId="0" borderId="6" xfId="1" applyNumberFormat="1" applyFont="1" applyFill="1" applyBorder="1" applyAlignment="1">
      <alignment horizontal="center" vertical="top" wrapText="1"/>
    </xf>
    <xf numFmtId="164" fontId="20" fillId="0" borderId="6" xfId="7" applyNumberFormat="1" applyFont="1" applyFill="1" applyBorder="1" applyAlignment="1">
      <alignment horizontal="right" vertical="top" wrapText="1"/>
    </xf>
    <xf numFmtId="164" fontId="16" fillId="0" borderId="6" xfId="0" applyNumberFormat="1" applyFont="1" applyBorder="1" applyAlignment="1">
      <alignment horizontal="center" vertical="top" wrapText="1"/>
    </xf>
    <xf numFmtId="164" fontId="16" fillId="0" borderId="6" xfId="0" applyNumberFormat="1" applyFont="1" applyBorder="1" applyAlignment="1">
      <alignment horizontal="right" vertical="top"/>
    </xf>
    <xf numFmtId="164" fontId="16" fillId="0" borderId="6" xfId="0" applyNumberFormat="1" applyFont="1" applyFill="1" applyBorder="1" applyAlignment="1">
      <alignment horizontal="center" vertical="top"/>
    </xf>
    <xf numFmtId="2" fontId="22" fillId="0" borderId="6" xfId="0" applyNumberFormat="1" applyFont="1" applyFill="1" applyBorder="1" applyAlignment="1">
      <alignment horizontal="center" vertical="top"/>
    </xf>
    <xf numFmtId="2" fontId="16" fillId="0" borderId="6" xfId="0" applyNumberFormat="1" applyFont="1" applyBorder="1" applyAlignment="1">
      <alignment horizontal="right" vertical="top"/>
    </xf>
    <xf numFmtId="2" fontId="22" fillId="0" borderId="6" xfId="0" applyNumberFormat="1" applyFont="1" applyBorder="1" applyAlignment="1">
      <alignment horizontal="right" vertical="top"/>
    </xf>
    <xf numFmtId="0" fontId="21" fillId="0" borderId="6" xfId="0" applyFont="1" applyBorder="1" applyAlignment="1">
      <alignment vertical="top" wrapText="1"/>
    </xf>
    <xf numFmtId="164" fontId="16" fillId="0" borderId="6" xfId="0" applyNumberFormat="1" applyFont="1" applyBorder="1" applyAlignment="1">
      <alignment horizontal="center" vertical="top"/>
    </xf>
    <xf numFmtId="164" fontId="16" fillId="0" borderId="6" xfId="0" applyNumberFormat="1" applyFont="1" applyBorder="1" applyAlignment="1">
      <alignment vertical="top"/>
    </xf>
    <xf numFmtId="0" fontId="21" fillId="0" borderId="6" xfId="0" applyFont="1" applyFill="1" applyBorder="1" applyAlignment="1">
      <alignment horizontal="center" vertical="top" wrapText="1"/>
    </xf>
    <xf numFmtId="164" fontId="16" fillId="0" borderId="6" xfId="0" applyNumberFormat="1" applyFont="1" applyFill="1" applyBorder="1" applyAlignment="1">
      <alignment horizontal="center" vertical="top" wrapText="1"/>
    </xf>
    <xf numFmtId="164" fontId="16" fillId="0" borderId="6" xfId="0" quotePrefix="1" applyNumberFormat="1" applyFont="1" applyBorder="1" applyAlignment="1">
      <alignment horizontal="center" vertical="top"/>
    </xf>
    <xf numFmtId="0" fontId="21" fillId="0" borderId="6" xfId="0" quotePrefix="1" applyFont="1" applyBorder="1" applyAlignment="1">
      <alignment horizontal="center" vertical="center" wrapText="1"/>
    </xf>
    <xf numFmtId="0" fontId="20" fillId="0" borderId="6" xfId="1" applyFont="1" applyFill="1" applyBorder="1" applyAlignment="1">
      <alignment horizontal="center" vertical="top" wrapText="1"/>
    </xf>
    <xf numFmtId="0" fontId="20" fillId="0" borderId="6" xfId="4" applyFont="1" applyFill="1" applyBorder="1" applyAlignment="1">
      <alignment vertical="top" wrapText="1"/>
    </xf>
    <xf numFmtId="164" fontId="16" fillId="0" borderId="6" xfId="0" quotePrefix="1" applyNumberFormat="1" applyFont="1" applyFill="1" applyBorder="1" applyAlignment="1">
      <alignment horizontal="right" vertical="top"/>
    </xf>
    <xf numFmtId="164" fontId="20" fillId="0" borderId="6" xfId="1" applyNumberFormat="1" applyFont="1" applyBorder="1" applyAlignment="1">
      <alignment horizontal="center" vertical="top" wrapText="1"/>
    </xf>
    <xf numFmtId="0" fontId="20" fillId="8" borderId="6" xfId="4" quotePrefix="1" applyFont="1" applyFill="1" applyBorder="1" applyAlignment="1">
      <alignment vertical="top" wrapText="1"/>
    </xf>
    <xf numFmtId="164" fontId="19" fillId="8" borderId="6" xfId="0" applyNumberFormat="1" applyFont="1" applyFill="1" applyBorder="1" applyAlignment="1">
      <alignment horizontal="center" vertical="top" wrapText="1"/>
    </xf>
    <xf numFmtId="164" fontId="19" fillId="8" borderId="6" xfId="0" applyNumberFormat="1" applyFont="1" applyFill="1" applyBorder="1" applyAlignment="1">
      <alignment horizontal="right" vertical="top"/>
    </xf>
    <xf numFmtId="2" fontId="19" fillId="8" borderId="6" xfId="0" applyNumberFormat="1" applyFont="1" applyFill="1" applyBorder="1" applyAlignment="1">
      <alignment horizontal="center" vertical="top" wrapText="1"/>
    </xf>
    <xf numFmtId="0" fontId="16" fillId="8" borderId="6" xfId="0" applyFont="1" applyFill="1" applyBorder="1"/>
    <xf numFmtId="164" fontId="20" fillId="0" borderId="6" xfId="4" applyNumberFormat="1" applyFont="1" applyBorder="1" applyAlignment="1">
      <alignment horizontal="right" vertical="top"/>
    </xf>
    <xf numFmtId="164" fontId="16" fillId="0" borderId="6" xfId="7" applyNumberFormat="1" applyFont="1" applyFill="1" applyBorder="1" applyAlignment="1">
      <alignment horizontal="right" vertical="top"/>
    </xf>
    <xf numFmtId="164" fontId="20" fillId="4" borderId="6" xfId="7" applyNumberFormat="1" applyFont="1" applyFill="1" applyBorder="1" applyAlignment="1">
      <alignment horizontal="right" vertical="top" wrapText="1"/>
    </xf>
    <xf numFmtId="164" fontId="16" fillId="4" borderId="6" xfId="7" quotePrefix="1" applyNumberFormat="1" applyFont="1" applyFill="1" applyBorder="1" applyAlignment="1">
      <alignment horizontal="center" vertical="top"/>
    </xf>
    <xf numFmtId="164" fontId="16" fillId="4" borderId="6" xfId="7" applyNumberFormat="1" applyFont="1" applyFill="1" applyBorder="1" applyAlignment="1">
      <alignment horizontal="right" vertical="top"/>
    </xf>
    <xf numFmtId="164" fontId="16" fillId="4" borderId="6" xfId="7" applyNumberFormat="1" applyFont="1" applyFill="1" applyBorder="1" applyAlignment="1">
      <alignment horizontal="center" vertical="top" wrapText="1"/>
    </xf>
    <xf numFmtId="164" fontId="20" fillId="0" borderId="6" xfId="1" applyNumberFormat="1" applyFont="1" applyBorder="1" applyAlignment="1">
      <alignment horizontal="center" vertical="top"/>
    </xf>
    <xf numFmtId="164" fontId="16" fillId="4" borderId="6" xfId="7" applyNumberFormat="1" applyFont="1" applyFill="1" applyBorder="1" applyAlignment="1">
      <alignment horizontal="center" vertical="top"/>
    </xf>
    <xf numFmtId="0" fontId="21" fillId="0" borderId="6" xfId="0" applyFont="1" applyFill="1" applyBorder="1" applyAlignment="1">
      <alignment vertical="top" wrapText="1"/>
    </xf>
    <xf numFmtId="164" fontId="16" fillId="0" borderId="6" xfId="7" quotePrefix="1" applyNumberFormat="1" applyFont="1" applyFill="1" applyBorder="1" applyAlignment="1">
      <alignment horizontal="right" vertical="top"/>
    </xf>
    <xf numFmtId="164" fontId="16" fillId="4" borderId="6" xfId="7" quotePrefix="1" applyNumberFormat="1" applyFont="1" applyFill="1" applyBorder="1" applyAlignment="1">
      <alignment horizontal="right" vertical="top"/>
    </xf>
    <xf numFmtId="164" fontId="16" fillId="0" borderId="6" xfId="7" applyNumberFormat="1" applyFont="1" applyFill="1" applyBorder="1" applyAlignment="1">
      <alignment horizontal="center" vertical="top" wrapText="1"/>
    </xf>
    <xf numFmtId="164" fontId="16" fillId="0" borderId="6" xfId="7" applyNumberFormat="1" applyFont="1" applyBorder="1" applyAlignment="1">
      <alignment horizontal="right" vertical="top"/>
    </xf>
    <xf numFmtId="164" fontId="16" fillId="0" borderId="6" xfId="7" applyNumberFormat="1" applyFont="1" applyBorder="1" applyAlignment="1">
      <alignment horizontal="center" vertical="top"/>
    </xf>
    <xf numFmtId="164" fontId="16" fillId="0" borderId="6" xfId="7" quotePrefix="1" applyNumberFormat="1" applyFont="1" applyBorder="1" applyAlignment="1">
      <alignment horizontal="center" vertical="top" wrapText="1"/>
    </xf>
    <xf numFmtId="164" fontId="16" fillId="0" borderId="6" xfId="7" applyNumberFormat="1" applyFont="1" applyBorder="1" applyAlignment="1">
      <alignment horizontal="center" vertical="top" wrapText="1"/>
    </xf>
    <xf numFmtId="164" fontId="16" fillId="0" borderId="6" xfId="7" quotePrefix="1" applyNumberFormat="1" applyFont="1" applyFill="1" applyBorder="1" applyAlignment="1">
      <alignment horizontal="center" vertical="top" wrapText="1"/>
    </xf>
    <xf numFmtId="164" fontId="16" fillId="0" borderId="6" xfId="0" quotePrefix="1" applyNumberFormat="1" applyFont="1" applyFill="1" applyBorder="1" applyAlignment="1">
      <alignment horizontal="center" vertical="top" wrapText="1"/>
    </xf>
    <xf numFmtId="164" fontId="17" fillId="8" borderId="6" xfId="7" applyNumberFormat="1" applyFont="1" applyFill="1" applyBorder="1" applyAlignment="1">
      <alignment horizontal="right" vertical="top"/>
    </xf>
    <xf numFmtId="164" fontId="17" fillId="8" borderId="6" xfId="7" applyNumberFormat="1" applyFont="1" applyFill="1" applyBorder="1" applyAlignment="1">
      <alignment horizontal="center" vertical="top"/>
    </xf>
    <xf numFmtId="2" fontId="18" fillId="8" borderId="6" xfId="0" applyNumberFormat="1" applyFont="1" applyFill="1" applyBorder="1" applyAlignment="1">
      <alignment horizontal="right" vertical="top"/>
    </xf>
    <xf numFmtId="2" fontId="18" fillId="8" borderId="6" xfId="0" applyNumberFormat="1" applyFont="1" applyFill="1" applyBorder="1" applyAlignment="1">
      <alignment horizontal="center" vertical="top"/>
    </xf>
    <xf numFmtId="164" fontId="20" fillId="0" borderId="6" xfId="4" applyNumberFormat="1" applyFont="1" applyFill="1" applyBorder="1" applyAlignment="1">
      <alignment horizontal="right" vertical="top"/>
    </xf>
    <xf numFmtId="2" fontId="23" fillId="0" borderId="6" xfId="0" applyNumberFormat="1" applyFont="1" applyBorder="1" applyAlignment="1">
      <alignment horizontal="center" vertical="top" wrapText="1"/>
    </xf>
    <xf numFmtId="0" fontId="16" fillId="0" borderId="6" xfId="0" quotePrefix="1" applyFont="1" applyBorder="1"/>
    <xf numFmtId="164" fontId="18" fillId="8" borderId="6" xfId="7" applyNumberFormat="1" applyFont="1" applyFill="1" applyBorder="1" applyAlignment="1">
      <alignment horizontal="right" vertical="top"/>
    </xf>
    <xf numFmtId="164" fontId="18" fillId="8" borderId="6" xfId="7" applyNumberFormat="1" applyFont="1" applyFill="1" applyBorder="1" applyAlignment="1">
      <alignment horizontal="center" vertical="top" wrapText="1"/>
    </xf>
    <xf numFmtId="0" fontId="17" fillId="8" borderId="6" xfId="4" quotePrefix="1" applyFont="1" applyFill="1" applyBorder="1" applyAlignment="1">
      <alignment vertical="top" wrapText="1" readingOrder="1"/>
    </xf>
    <xf numFmtId="0" fontId="17" fillId="8" borderId="6" xfId="4" applyFont="1" applyFill="1" applyBorder="1" applyAlignment="1">
      <alignment vertical="top" wrapText="1" readingOrder="1"/>
    </xf>
    <xf numFmtId="164" fontId="22" fillId="0" borderId="6" xfId="7" applyNumberFormat="1" applyFont="1" applyFill="1" applyBorder="1" applyAlignment="1">
      <alignment horizontal="center" vertical="top" wrapText="1"/>
    </xf>
    <xf numFmtId="0" fontId="20" fillId="0" borderId="6" xfId="1" applyFont="1" applyBorder="1" applyAlignment="1">
      <alignment horizontal="left" vertical="center" wrapText="1"/>
    </xf>
    <xf numFmtId="164" fontId="16" fillId="0" borderId="6" xfId="7" quotePrefix="1" applyNumberFormat="1" applyFont="1" applyBorder="1" applyAlignment="1">
      <alignment horizontal="right" vertical="top"/>
    </xf>
    <xf numFmtId="164" fontId="20" fillId="0" borderId="6" xfId="1" quotePrefix="1" applyNumberFormat="1" applyFont="1" applyBorder="1" applyAlignment="1">
      <alignment horizontal="center" vertical="top"/>
    </xf>
    <xf numFmtId="0" fontId="21" fillId="6" borderId="6" xfId="0" applyFont="1" applyFill="1" applyBorder="1" applyAlignment="1">
      <alignment vertical="top" wrapText="1"/>
    </xf>
    <xf numFmtId="0" fontId="21" fillId="6" borderId="6" xfId="0" quotePrefix="1" applyFont="1" applyFill="1" applyBorder="1" applyAlignment="1">
      <alignment vertical="top" wrapText="1"/>
    </xf>
    <xf numFmtId="164" fontId="20" fillId="0" borderId="6" xfId="1" quotePrefix="1" applyNumberFormat="1" applyFont="1" applyFill="1" applyBorder="1" applyAlignment="1">
      <alignment horizontal="center" vertical="top" wrapText="1"/>
    </xf>
    <xf numFmtId="1" fontId="16" fillId="0" borderId="6" xfId="0" quotePrefix="1" applyNumberFormat="1" applyFont="1" applyBorder="1" applyAlignment="1">
      <alignment horizontal="center" vertical="top" wrapText="1"/>
    </xf>
    <xf numFmtId="164" fontId="20" fillId="7" borderId="6" xfId="5" applyNumberFormat="1" applyFont="1" applyFill="1" applyBorder="1" applyAlignment="1">
      <alignment horizontal="center" vertical="top" wrapText="1" readingOrder="1"/>
    </xf>
    <xf numFmtId="2" fontId="16" fillId="4" borderId="6" xfId="7" applyNumberFormat="1" applyFont="1" applyFill="1" applyBorder="1" applyAlignment="1">
      <alignment horizontal="right" vertical="top"/>
    </xf>
    <xf numFmtId="0" fontId="20" fillId="0" borderId="6" xfId="8" applyFont="1" applyBorder="1" applyAlignment="1">
      <alignment horizontal="left" vertical="top" wrapText="1"/>
    </xf>
    <xf numFmtId="0" fontId="16" fillId="0" borderId="6" xfId="0" quotePrefix="1" applyFont="1" applyBorder="1" applyAlignment="1">
      <alignment horizontal="center" vertical="center"/>
    </xf>
    <xf numFmtId="0" fontId="20" fillId="0" borderId="6" xfId="8" applyFont="1" applyBorder="1" applyAlignment="1">
      <alignment horizontal="left" vertical="center" wrapText="1"/>
    </xf>
    <xf numFmtId="164" fontId="16" fillId="0" borderId="1" xfId="7" applyNumberFormat="1" applyFont="1" applyBorder="1" applyAlignment="1">
      <alignment horizontal="right" vertical="top"/>
    </xf>
    <xf numFmtId="0" fontId="22" fillId="0" borderId="6" xfId="4" applyFont="1" applyFill="1" applyBorder="1" applyAlignment="1">
      <alignment horizontal="left" vertical="top" wrapText="1"/>
    </xf>
    <xf numFmtId="164" fontId="20" fillId="0" borderId="6" xfId="7" quotePrefix="1" applyNumberFormat="1" applyFont="1" applyFill="1" applyBorder="1" applyAlignment="1">
      <alignment horizontal="right" vertical="top" wrapText="1"/>
    </xf>
    <xf numFmtId="164" fontId="16" fillId="0" borderId="6" xfId="7" quotePrefix="1" applyNumberFormat="1" applyFont="1" applyBorder="1" applyAlignment="1">
      <alignment horizontal="center" vertical="top"/>
    </xf>
    <xf numFmtId="164" fontId="22" fillId="0" borderId="6" xfId="1" applyNumberFormat="1" applyFont="1" applyFill="1" applyBorder="1" applyAlignment="1">
      <alignment horizontal="center" vertical="top" wrapText="1"/>
    </xf>
    <xf numFmtId="164" fontId="20" fillId="0" borderId="6" xfId="4" applyNumberFormat="1" applyFont="1" applyFill="1" applyBorder="1" applyAlignment="1">
      <alignment horizontal="center" vertical="top" wrapText="1"/>
    </xf>
    <xf numFmtId="0" fontId="16" fillId="0" borderId="6" xfId="0" applyFont="1" applyFill="1" applyBorder="1" applyAlignment="1">
      <alignment horizontal="justify" vertical="top" wrapText="1"/>
    </xf>
    <xf numFmtId="164" fontId="20" fillId="0" borderId="6" xfId="7" applyNumberFormat="1" applyFont="1" applyBorder="1" applyAlignment="1">
      <alignment horizontal="right" vertical="top" wrapText="1"/>
    </xf>
    <xf numFmtId="164" fontId="21" fillId="0" borderId="6" xfId="0" applyNumberFormat="1" applyFont="1" applyFill="1" applyBorder="1" applyAlignment="1">
      <alignment horizontal="center" vertical="top" wrapText="1"/>
    </xf>
    <xf numFmtId="164" fontId="20" fillId="0" borderId="6" xfId="4" quotePrefix="1" applyNumberFormat="1" applyFont="1" applyFill="1" applyBorder="1" applyAlignment="1">
      <alignment horizontal="center" vertical="top" wrapText="1"/>
    </xf>
    <xf numFmtId="0" fontId="21" fillId="0" borderId="6" xfId="0" applyFont="1" applyBorder="1" applyAlignment="1">
      <alignment horizontal="center" vertical="top" wrapText="1"/>
    </xf>
    <xf numFmtId="2" fontId="22" fillId="0" borderId="6" xfId="8" applyNumberFormat="1" applyFont="1" applyBorder="1" applyAlignment="1">
      <alignment horizontal="center" vertical="top" wrapText="1"/>
    </xf>
    <xf numFmtId="1" fontId="16" fillId="0" borderId="6" xfId="0" applyNumberFormat="1" applyFont="1" applyBorder="1" applyAlignment="1">
      <alignment horizontal="center" vertical="center" wrapText="1"/>
    </xf>
    <xf numFmtId="1" fontId="16" fillId="0" borderId="6" xfId="0" quotePrefix="1" applyNumberFormat="1" applyFont="1" applyBorder="1" applyAlignment="1">
      <alignment horizontal="center" vertical="center" wrapText="1"/>
    </xf>
    <xf numFmtId="0" fontId="16" fillId="0" borderId="6" xfId="0" quotePrefix="1" applyFont="1" applyBorder="1" applyAlignment="1">
      <alignment vertical="center"/>
    </xf>
    <xf numFmtId="0" fontId="20" fillId="0" borderId="6" xfId="4" applyFont="1" applyFill="1" applyBorder="1" applyAlignment="1">
      <alignment horizontal="left" vertical="center" wrapText="1"/>
    </xf>
    <xf numFmtId="2" fontId="18" fillId="0" borderId="6" xfId="0" applyNumberFormat="1" applyFont="1" applyBorder="1" applyAlignment="1">
      <alignment horizontal="center" vertical="center"/>
    </xf>
    <xf numFmtId="164" fontId="18" fillId="0" borderId="6" xfId="0" applyNumberFormat="1" applyFont="1" applyFill="1" applyBorder="1" applyAlignment="1">
      <alignment horizontal="center" wrapText="1"/>
    </xf>
    <xf numFmtId="164" fontId="18" fillId="3" borderId="6" xfId="0" applyNumberFormat="1" applyFont="1" applyFill="1" applyBorder="1" applyAlignment="1">
      <alignment horizontal="right"/>
    </xf>
    <xf numFmtId="0" fontId="16" fillId="3" borderId="9" xfId="0" applyFont="1" applyFill="1" applyBorder="1"/>
    <xf numFmtId="2" fontId="16" fillId="0" borderId="1" xfId="0" applyNumberFormat="1" applyFont="1" applyBorder="1" applyAlignment="1">
      <alignment horizontal="center"/>
    </xf>
    <xf numFmtId="2" fontId="16" fillId="4" borderId="1" xfId="0" applyNumberFormat="1" applyFont="1" applyFill="1" applyBorder="1" applyAlignment="1">
      <alignment horizontal="right"/>
    </xf>
    <xf numFmtId="164" fontId="16" fillId="0" borderId="6" xfId="0" applyNumberFormat="1" applyFont="1" applyFill="1" applyBorder="1" applyAlignment="1">
      <alignment horizontal="center" wrapText="1"/>
    </xf>
    <xf numFmtId="164" fontId="16" fillId="3" borderId="6" xfId="0" applyNumberFormat="1" applyFont="1" applyFill="1" applyBorder="1" applyAlignment="1">
      <alignment horizontal="right"/>
    </xf>
    <xf numFmtId="9" fontId="16" fillId="0" borderId="6" xfId="0" applyNumberFormat="1" applyFont="1" applyBorder="1" applyAlignment="1">
      <alignment horizontal="center"/>
    </xf>
    <xf numFmtId="166" fontId="18" fillId="0" borderId="10" xfId="0" applyNumberFormat="1" applyFont="1" applyFill="1" applyBorder="1" applyAlignment="1">
      <alignment vertical="center"/>
    </xf>
    <xf numFmtId="164" fontId="18" fillId="3" borderId="6" xfId="0" applyNumberFormat="1" applyFont="1" applyFill="1" applyBorder="1" applyAlignment="1">
      <alignment horizontal="center" vertical="center" wrapText="1"/>
    </xf>
    <xf numFmtId="2" fontId="18" fillId="3"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9" fontId="16" fillId="3" borderId="6" xfId="0" applyNumberFormat="1" applyFont="1" applyFill="1" applyBorder="1" applyAlignment="1">
      <alignment horizontal="center" vertical="center"/>
    </xf>
    <xf numFmtId="164" fontId="16" fillId="3" borderId="6" xfId="0" applyNumberFormat="1" applyFont="1" applyFill="1" applyBorder="1" applyAlignment="1">
      <alignment horizontal="right" vertical="center"/>
    </xf>
    <xf numFmtId="0" fontId="16" fillId="3" borderId="9" xfId="0" applyFont="1" applyFill="1" applyBorder="1" applyAlignment="1">
      <alignment vertical="center"/>
    </xf>
    <xf numFmtId="0" fontId="16" fillId="0" borderId="0" xfId="0" applyFont="1"/>
    <xf numFmtId="164" fontId="16" fillId="0" borderId="0" xfId="0" applyNumberFormat="1" applyFont="1" applyAlignment="1">
      <alignment horizontal="right" vertical="top"/>
    </xf>
    <xf numFmtId="164" fontId="16" fillId="0" borderId="0" xfId="0" applyNumberFormat="1" applyFont="1" applyAlignment="1">
      <alignment horizontal="center" vertical="top"/>
    </xf>
    <xf numFmtId="9" fontId="16" fillId="0" borderId="0" xfId="0" applyNumberFormat="1" applyFont="1" applyAlignment="1">
      <alignment horizontal="center"/>
    </xf>
    <xf numFmtId="164" fontId="16" fillId="4" borderId="0" xfId="0" applyNumberFormat="1" applyFont="1" applyFill="1" applyAlignment="1">
      <alignment horizontal="right"/>
    </xf>
    <xf numFmtId="164" fontId="16" fillId="0" borderId="0" xfId="0" applyNumberFormat="1" applyFont="1" applyFill="1" applyAlignment="1">
      <alignment horizontal="center" wrapText="1"/>
    </xf>
    <xf numFmtId="2" fontId="18" fillId="0" borderId="6" xfId="0" applyNumberFormat="1" applyFont="1" applyBorder="1" applyAlignment="1">
      <alignment horizontal="center"/>
    </xf>
    <xf numFmtId="0" fontId="18" fillId="3" borderId="9" xfId="0" applyFont="1" applyFill="1" applyBorder="1"/>
    <xf numFmtId="0" fontId="18" fillId="0" borderId="6" xfId="0" applyFont="1" applyBorder="1" applyAlignment="1">
      <alignment vertical="center"/>
    </xf>
    <xf numFmtId="164" fontId="18" fillId="4" borderId="6" xfId="0" applyNumberFormat="1" applyFont="1" applyFill="1" applyBorder="1" applyAlignment="1">
      <alignment horizontal="right"/>
    </xf>
    <xf numFmtId="9" fontId="18" fillId="0" borderId="6" xfId="0" applyNumberFormat="1" applyFont="1" applyBorder="1" applyAlignment="1">
      <alignment horizontal="center"/>
    </xf>
    <xf numFmtId="164" fontId="18" fillId="0" borderId="6" xfId="0" applyNumberFormat="1" applyFont="1" applyBorder="1" applyAlignment="1">
      <alignment horizontal="right" vertical="top"/>
    </xf>
    <xf numFmtId="2" fontId="16" fillId="0" borderId="6" xfId="0" applyNumberFormat="1" applyFont="1" applyFill="1" applyBorder="1" applyAlignment="1">
      <alignment horizontal="center" vertical="top"/>
    </xf>
    <xf numFmtId="0" fontId="16" fillId="9" borderId="6" xfId="0" applyFont="1" applyFill="1" applyBorder="1"/>
    <xf numFmtId="0" fontId="21" fillId="9" borderId="6" xfId="0" applyFont="1" applyFill="1" applyBorder="1" applyAlignment="1">
      <alignment vertical="top" wrapText="1"/>
    </xf>
    <xf numFmtId="0" fontId="9" fillId="9" borderId="0" xfId="0" applyFont="1" applyFill="1"/>
    <xf numFmtId="0" fontId="16" fillId="4" borderId="6" xfId="0" applyFont="1" applyFill="1" applyBorder="1"/>
    <xf numFmtId="164" fontId="16" fillId="4" borderId="6" xfId="0" applyNumberFormat="1" applyFont="1" applyFill="1" applyBorder="1" applyAlignment="1">
      <alignment horizontal="right" vertical="top"/>
    </xf>
    <xf numFmtId="2" fontId="16" fillId="4" borderId="6" xfId="0" applyNumberFormat="1" applyFont="1" applyFill="1" applyBorder="1" applyAlignment="1">
      <alignment horizontal="right" vertical="top"/>
    </xf>
    <xf numFmtId="0" fontId="9" fillId="4" borderId="0" xfId="0" applyFont="1" applyFill="1"/>
    <xf numFmtId="0" fontId="21" fillId="4" borderId="6" xfId="0" applyFont="1" applyFill="1" applyBorder="1" applyAlignment="1">
      <alignment vertical="top" wrapText="1"/>
    </xf>
    <xf numFmtId="164" fontId="16" fillId="4" borderId="6" xfId="0" quotePrefix="1" applyNumberFormat="1" applyFont="1" applyFill="1" applyBorder="1" applyAlignment="1">
      <alignment horizontal="center" vertical="top" wrapText="1"/>
    </xf>
    <xf numFmtId="164" fontId="16" fillId="4" borderId="6" xfId="0" applyNumberFormat="1" applyFont="1" applyFill="1" applyBorder="1" applyAlignment="1">
      <alignment horizontal="center" vertical="top" wrapText="1"/>
    </xf>
    <xf numFmtId="164" fontId="16" fillId="4" borderId="6" xfId="0" applyNumberFormat="1" applyFont="1" applyFill="1" applyBorder="1" applyAlignment="1">
      <alignment horizontal="center" vertical="top"/>
    </xf>
    <xf numFmtId="9" fontId="18" fillId="8" borderId="6" xfId="1" applyNumberFormat="1" applyFont="1" applyFill="1" applyBorder="1" applyAlignment="1">
      <alignment horizontal="left" vertical="top" wrapText="1"/>
    </xf>
    <xf numFmtId="164" fontId="17" fillId="8" borderId="6" xfId="1" applyNumberFormat="1" applyFont="1" applyFill="1" applyBorder="1" applyAlignment="1">
      <alignment horizontal="right" vertical="top" wrapText="1"/>
    </xf>
    <xf numFmtId="164" fontId="22" fillId="0" borderId="6" xfId="1" quotePrefix="1" applyNumberFormat="1" applyFont="1" applyFill="1" applyBorder="1" applyAlignment="1">
      <alignment horizontal="center" vertical="top" wrapText="1"/>
    </xf>
    <xf numFmtId="0" fontId="20" fillId="4" borderId="6" xfId="4" applyFont="1" applyFill="1" applyBorder="1" applyAlignment="1">
      <alignment horizontal="left" vertical="top" wrapText="1"/>
    </xf>
    <xf numFmtId="2" fontId="16" fillId="0" borderId="6" xfId="0" applyNumberFormat="1" applyFont="1" applyFill="1" applyBorder="1" applyAlignment="1">
      <alignment horizontal="right" vertical="top"/>
    </xf>
    <xf numFmtId="0" fontId="18" fillId="0" borderId="6" xfId="0" applyFont="1" applyFill="1" applyBorder="1" applyAlignment="1">
      <alignment horizontal="center" vertical="top" wrapText="1"/>
    </xf>
    <xf numFmtId="0" fontId="19" fillId="8" borderId="6" xfId="4" applyFont="1" applyFill="1" applyBorder="1" applyAlignment="1">
      <alignment horizontal="left" vertical="top" wrapText="1"/>
    </xf>
    <xf numFmtId="0" fontId="16" fillId="0" borderId="6" xfId="0" applyFont="1" applyFill="1" applyBorder="1"/>
    <xf numFmtId="0" fontId="9" fillId="0" borderId="0" xfId="0" applyFont="1" applyFill="1"/>
    <xf numFmtId="164" fontId="21" fillId="0" borderId="6" xfId="0" quotePrefix="1" applyNumberFormat="1" applyFont="1" applyFill="1" applyBorder="1" applyAlignment="1">
      <alignment horizontal="center" vertical="top" wrapText="1"/>
    </xf>
    <xf numFmtId="1" fontId="16" fillId="0" borderId="6" xfId="0" applyNumberFormat="1" applyFont="1" applyFill="1" applyBorder="1" applyAlignment="1">
      <alignment horizontal="center" vertical="center" wrapText="1"/>
    </xf>
    <xf numFmtId="1" fontId="16" fillId="0" borderId="6" xfId="0" quotePrefix="1" applyNumberFormat="1" applyFont="1" applyFill="1" applyBorder="1" applyAlignment="1">
      <alignment horizontal="center" vertical="center" wrapText="1"/>
    </xf>
    <xf numFmtId="0" fontId="16" fillId="0" borderId="6" xfId="0" quotePrefix="1" applyFont="1" applyFill="1" applyBorder="1" applyAlignment="1">
      <alignment vertical="center"/>
    </xf>
    <xf numFmtId="2" fontId="16" fillId="0" borderId="6" xfId="7" applyNumberFormat="1" applyFont="1" applyFill="1" applyBorder="1" applyAlignment="1">
      <alignment horizontal="right" vertical="top"/>
    </xf>
    <xf numFmtId="0" fontId="16" fillId="0" borderId="0" xfId="0" applyFont="1" applyFill="1"/>
    <xf numFmtId="164" fontId="22" fillId="0" borderId="6" xfId="7" applyNumberFormat="1" applyFont="1" applyFill="1" applyBorder="1" applyAlignment="1">
      <alignment horizontal="right" vertical="top"/>
    </xf>
    <xf numFmtId="164" fontId="23" fillId="0" borderId="6" xfId="0" applyNumberFormat="1" applyFont="1" applyFill="1" applyBorder="1" applyAlignment="1">
      <alignment horizontal="center" vertical="top" wrapText="1"/>
    </xf>
    <xf numFmtId="164" fontId="16" fillId="4" borderId="6" xfId="0" quotePrefix="1" applyNumberFormat="1" applyFont="1" applyFill="1" applyBorder="1" applyAlignment="1">
      <alignment horizontal="center" vertical="top"/>
    </xf>
    <xf numFmtId="164" fontId="16" fillId="0" borderId="6" xfId="0" quotePrefix="1" applyNumberFormat="1" applyFont="1" applyFill="1" applyBorder="1" applyAlignment="1">
      <alignment horizontal="center" vertical="top"/>
    </xf>
    <xf numFmtId="4" fontId="17" fillId="0" borderId="3" xfId="12" applyNumberFormat="1" applyFont="1" applyFill="1" applyBorder="1" applyAlignment="1">
      <alignment horizontal="right" vertical="top"/>
    </xf>
    <xf numFmtId="164" fontId="17" fillId="8" borderId="6" xfId="7" quotePrefix="1" applyNumberFormat="1" applyFont="1" applyFill="1" applyBorder="1" applyAlignment="1">
      <alignment horizontal="center" vertical="top"/>
    </xf>
    <xf numFmtId="164" fontId="16" fillId="0" borderId="1" xfId="7" quotePrefix="1" applyNumberFormat="1" applyFont="1" applyBorder="1" applyAlignment="1">
      <alignment horizontal="center" vertical="top"/>
    </xf>
    <xf numFmtId="164" fontId="18" fillId="4" borderId="6" xfId="0" applyNumberFormat="1" applyFont="1" applyFill="1" applyBorder="1" applyAlignment="1">
      <alignment horizontal="right" vertical="top"/>
    </xf>
    <xf numFmtId="164" fontId="17" fillId="4" borderId="6" xfId="7" quotePrefix="1" applyNumberFormat="1" applyFont="1" applyFill="1" applyBorder="1" applyAlignment="1">
      <alignment horizontal="center" vertical="top"/>
    </xf>
    <xf numFmtId="164" fontId="20" fillId="4" borderId="6" xfId="7" applyNumberFormat="1" applyFont="1" applyFill="1" applyBorder="1" applyAlignment="1">
      <alignment horizontal="right" vertical="top"/>
    </xf>
    <xf numFmtId="164" fontId="20" fillId="4" borderId="6" xfId="7" applyNumberFormat="1" applyFont="1" applyFill="1" applyBorder="1" applyAlignment="1">
      <alignment horizontal="center" vertical="top"/>
    </xf>
    <xf numFmtId="164" fontId="22" fillId="4" borderId="6" xfId="0" applyNumberFormat="1" applyFont="1" applyFill="1" applyBorder="1" applyAlignment="1">
      <alignment horizontal="center" vertical="top" wrapText="1"/>
    </xf>
    <xf numFmtId="167" fontId="18" fillId="8" borderId="6" xfId="7" applyNumberFormat="1" applyFont="1" applyFill="1" applyBorder="1" applyAlignment="1">
      <alignment horizontal="center" vertical="top" wrapText="1"/>
    </xf>
    <xf numFmtId="164" fontId="17" fillId="8" borderId="6" xfId="4" applyNumberFormat="1" applyFont="1" applyFill="1" applyBorder="1" applyAlignment="1">
      <alignment horizontal="right" vertical="top"/>
    </xf>
    <xf numFmtId="164" fontId="17" fillId="8" borderId="6" xfId="6" applyNumberFormat="1" applyFont="1" applyFill="1" applyBorder="1" applyAlignment="1">
      <alignment horizontal="center" vertical="top" wrapText="1"/>
    </xf>
    <xf numFmtId="164" fontId="18" fillId="8" borderId="3" xfId="7" applyNumberFormat="1" applyFont="1" applyFill="1" applyBorder="1" applyAlignment="1">
      <alignment horizontal="right" vertical="top"/>
    </xf>
    <xf numFmtId="1" fontId="16" fillId="0" borderId="5" xfId="0" quotePrefix="1" applyNumberFormat="1" applyFont="1" applyBorder="1" applyAlignment="1">
      <alignment horizontal="center" vertical="top" wrapText="1"/>
    </xf>
    <xf numFmtId="164" fontId="20" fillId="0" borderId="5" xfId="1" applyNumberFormat="1" applyFont="1" applyBorder="1" applyAlignment="1">
      <alignment horizontal="center" vertical="top" wrapText="1"/>
    </xf>
    <xf numFmtId="164" fontId="20" fillId="7" borderId="5" xfId="5" applyNumberFormat="1" applyFont="1" applyFill="1" applyBorder="1" applyAlignment="1">
      <alignment horizontal="center" vertical="top" wrapText="1" readingOrder="1"/>
    </xf>
    <xf numFmtId="164" fontId="16" fillId="0" borderId="5" xfId="7" applyNumberFormat="1" applyFont="1" applyBorder="1" applyAlignment="1">
      <alignment horizontal="center" vertical="top" wrapText="1"/>
    </xf>
    <xf numFmtId="164" fontId="16" fillId="0" borderId="5" xfId="7" applyNumberFormat="1" applyFont="1" applyBorder="1" applyAlignment="1">
      <alignment horizontal="right" vertical="top"/>
    </xf>
    <xf numFmtId="164" fontId="16" fillId="0" borderId="5" xfId="7" quotePrefix="1" applyNumberFormat="1" applyFont="1" applyBorder="1" applyAlignment="1">
      <alignment horizontal="center" vertical="top" wrapText="1"/>
    </xf>
    <xf numFmtId="2" fontId="16" fillId="4" borderId="5" xfId="7" applyNumberFormat="1" applyFont="1" applyFill="1" applyBorder="1" applyAlignment="1">
      <alignment horizontal="right" vertical="top"/>
    </xf>
    <xf numFmtId="164" fontId="16" fillId="4" borderId="5" xfId="7" applyNumberFormat="1" applyFont="1" applyFill="1" applyBorder="1" applyAlignment="1">
      <alignment horizontal="right" vertical="top"/>
    </xf>
    <xf numFmtId="2" fontId="16" fillId="0" borderId="5" xfId="0" applyNumberFormat="1" applyFont="1" applyBorder="1" applyAlignment="1">
      <alignment horizontal="right" vertical="top"/>
    </xf>
    <xf numFmtId="0" fontId="18" fillId="8" borderId="5" xfId="0" applyFont="1" applyFill="1" applyBorder="1" applyAlignment="1">
      <alignment horizontal="center" vertical="top" wrapText="1"/>
    </xf>
    <xf numFmtId="0" fontId="17" fillId="8" borderId="1" xfId="4" quotePrefix="1" applyFont="1" applyFill="1" applyBorder="1" applyAlignment="1">
      <alignment vertical="top" wrapText="1"/>
    </xf>
    <xf numFmtId="1" fontId="18" fillId="8" borderId="1" xfId="0" quotePrefix="1" applyNumberFormat="1" applyFont="1" applyFill="1" applyBorder="1" applyAlignment="1">
      <alignment horizontal="center" vertical="top" wrapText="1"/>
    </xf>
    <xf numFmtId="0" fontId="18" fillId="8" borderId="1" xfId="1" applyFont="1" applyFill="1" applyBorder="1" applyAlignment="1">
      <alignment horizontal="center" vertical="top" wrapText="1"/>
    </xf>
    <xf numFmtId="164" fontId="18" fillId="8" borderId="1" xfId="1" applyNumberFormat="1" applyFont="1" applyFill="1" applyBorder="1" applyAlignment="1">
      <alignment horizontal="center" vertical="top" wrapText="1"/>
    </xf>
    <xf numFmtId="164" fontId="18" fillId="8" borderId="1" xfId="7" applyNumberFormat="1" applyFont="1" applyFill="1" applyBorder="1" applyAlignment="1">
      <alignment horizontal="right" vertical="top"/>
    </xf>
    <xf numFmtId="164" fontId="18" fillId="8" borderId="1" xfId="7" applyNumberFormat="1" applyFont="1" applyFill="1" applyBorder="1" applyAlignment="1">
      <alignment horizontal="center" vertical="top" wrapText="1"/>
    </xf>
    <xf numFmtId="164" fontId="18" fillId="8" borderId="1" xfId="0" applyNumberFormat="1" applyFont="1" applyFill="1" applyBorder="1" applyAlignment="1">
      <alignment horizontal="right" vertical="top"/>
    </xf>
    <xf numFmtId="2" fontId="18" fillId="8" borderId="1" xfId="0" applyNumberFormat="1" applyFont="1" applyFill="1" applyBorder="1" applyAlignment="1">
      <alignment horizontal="right" vertical="top"/>
    </xf>
    <xf numFmtId="0" fontId="18" fillId="8" borderId="1" xfId="0" applyFont="1" applyFill="1" applyBorder="1" applyAlignment="1">
      <alignment horizontal="center" vertical="top" wrapText="1"/>
    </xf>
    <xf numFmtId="0" fontId="17" fillId="8" borderId="3" xfId="4" quotePrefix="1" applyFont="1" applyFill="1" applyBorder="1" applyAlignment="1">
      <alignment vertical="top" wrapText="1"/>
    </xf>
    <xf numFmtId="1" fontId="18" fillId="8" borderId="3" xfId="0" quotePrefix="1" applyNumberFormat="1" applyFont="1" applyFill="1" applyBorder="1" applyAlignment="1">
      <alignment horizontal="center" vertical="top" wrapText="1"/>
    </xf>
    <xf numFmtId="0" fontId="18" fillId="8" borderId="3" xfId="1" applyFont="1" applyFill="1" applyBorder="1" applyAlignment="1">
      <alignment horizontal="center" vertical="top" wrapText="1"/>
    </xf>
    <xf numFmtId="164" fontId="18" fillId="8" borderId="3" xfId="1" applyNumberFormat="1" applyFont="1" applyFill="1" applyBorder="1" applyAlignment="1">
      <alignment horizontal="center" vertical="top" wrapText="1"/>
    </xf>
    <xf numFmtId="164" fontId="18" fillId="8" borderId="3" xfId="7" applyNumberFormat="1" applyFont="1" applyFill="1" applyBorder="1" applyAlignment="1">
      <alignment horizontal="center" vertical="top" wrapText="1"/>
    </xf>
    <xf numFmtId="164" fontId="18" fillId="8" borderId="3" xfId="0" applyNumberFormat="1" applyFont="1" applyFill="1" applyBorder="1" applyAlignment="1">
      <alignment horizontal="right" vertical="top"/>
    </xf>
    <xf numFmtId="2" fontId="18" fillId="8" borderId="3" xfId="0" applyNumberFormat="1" applyFont="1" applyFill="1" applyBorder="1" applyAlignment="1">
      <alignment horizontal="right" vertical="top"/>
    </xf>
    <xf numFmtId="0" fontId="18" fillId="8" borderId="3" xfId="0" applyFont="1" applyFill="1" applyBorder="1" applyAlignment="1">
      <alignment horizontal="center" vertical="top" wrapText="1"/>
    </xf>
    <xf numFmtId="0" fontId="17" fillId="8" borderId="5" xfId="4" quotePrefix="1" applyFont="1" applyFill="1" applyBorder="1" applyAlignment="1">
      <alignment vertical="top" wrapText="1"/>
    </xf>
    <xf numFmtId="1" fontId="18" fillId="8" borderId="5" xfId="0" quotePrefix="1" applyNumberFormat="1" applyFont="1" applyFill="1" applyBorder="1" applyAlignment="1">
      <alignment horizontal="center" vertical="top" wrapText="1"/>
    </xf>
    <xf numFmtId="164" fontId="18" fillId="8" borderId="5" xfId="1" applyNumberFormat="1" applyFont="1" applyFill="1" applyBorder="1" applyAlignment="1">
      <alignment horizontal="center" vertical="top" wrapText="1"/>
    </xf>
    <xf numFmtId="164" fontId="18" fillId="8" borderId="5" xfId="7" applyNumberFormat="1" applyFont="1" applyFill="1" applyBorder="1" applyAlignment="1">
      <alignment horizontal="right" vertical="top"/>
    </xf>
    <xf numFmtId="164" fontId="18" fillId="8" borderId="5" xfId="7" applyNumberFormat="1" applyFont="1" applyFill="1" applyBorder="1" applyAlignment="1">
      <alignment horizontal="center" vertical="top" wrapText="1"/>
    </xf>
    <xf numFmtId="164" fontId="18" fillId="8" borderId="5" xfId="0" applyNumberFormat="1" applyFont="1" applyFill="1" applyBorder="1" applyAlignment="1">
      <alignment horizontal="right" vertical="top"/>
    </xf>
    <xf numFmtId="2" fontId="18" fillId="8" borderId="5" xfId="0" applyNumberFormat="1" applyFont="1" applyFill="1" applyBorder="1" applyAlignment="1">
      <alignment horizontal="right" vertical="top"/>
    </xf>
    <xf numFmtId="3" fontId="18" fillId="8" borderId="3" xfId="1" applyNumberFormat="1" applyFont="1" applyFill="1" applyBorder="1" applyAlignment="1">
      <alignment horizontal="center" vertical="top" wrapText="1"/>
    </xf>
    <xf numFmtId="166" fontId="18" fillId="8" borderId="5" xfId="15" applyNumberFormat="1" applyFont="1" applyFill="1" applyBorder="1" applyAlignment="1">
      <alignment horizontal="center" vertical="top" wrapText="1"/>
    </xf>
    <xf numFmtId="164" fontId="19" fillId="8" borderId="6" xfId="1" applyNumberFormat="1" applyFont="1" applyFill="1" applyBorder="1" applyAlignment="1">
      <alignment horizontal="center" vertical="top" wrapText="1"/>
    </xf>
    <xf numFmtId="164" fontId="27" fillId="8" borderId="6" xfId="1" applyNumberFormat="1" applyFont="1" applyFill="1" applyBorder="1" applyAlignment="1">
      <alignment horizontal="center" vertical="top" wrapText="1"/>
    </xf>
    <xf numFmtId="164" fontId="28" fillId="0" borderId="6" xfId="1" applyNumberFormat="1" applyFont="1" applyFill="1" applyBorder="1" applyAlignment="1">
      <alignment horizontal="center" vertical="top" wrapText="1"/>
    </xf>
    <xf numFmtId="164" fontId="19" fillId="8" borderId="3" xfId="7" applyNumberFormat="1" applyFont="1" applyFill="1" applyBorder="1" applyAlignment="1">
      <alignment horizontal="center" vertical="top" wrapText="1"/>
    </xf>
    <xf numFmtId="164" fontId="19" fillId="8" borderId="1" xfId="7" applyNumberFormat="1" applyFont="1" applyFill="1" applyBorder="1" applyAlignment="1">
      <alignment horizontal="center" vertical="top" wrapText="1"/>
    </xf>
    <xf numFmtId="2" fontId="19" fillId="8" borderId="1" xfId="0" applyNumberFormat="1" applyFont="1" applyFill="1" applyBorder="1" applyAlignment="1">
      <alignment horizontal="center" vertical="top"/>
    </xf>
    <xf numFmtId="2" fontId="19" fillId="8" borderId="3" xfId="0" applyNumberFormat="1" applyFont="1" applyFill="1" applyBorder="1" applyAlignment="1">
      <alignment horizontal="center" vertical="top"/>
    </xf>
    <xf numFmtId="164" fontId="19" fillId="8" borderId="5" xfId="7" applyNumberFormat="1" applyFont="1" applyFill="1" applyBorder="1" applyAlignment="1">
      <alignment horizontal="center" vertical="top" wrapText="1"/>
    </xf>
    <xf numFmtId="2" fontId="19" fillId="8" borderId="5" xfId="0" applyNumberFormat="1" applyFont="1" applyFill="1" applyBorder="1" applyAlignment="1">
      <alignment horizontal="center" vertical="top"/>
    </xf>
    <xf numFmtId="2" fontId="19" fillId="8" borderId="1" xfId="1" applyNumberFormat="1" applyFont="1" applyFill="1" applyBorder="1" applyAlignment="1">
      <alignment horizontal="center" vertical="top" wrapText="1"/>
    </xf>
    <xf numFmtId="2" fontId="19" fillId="8" borderId="3" xfId="1" applyNumberFormat="1" applyFont="1" applyFill="1" applyBorder="1" applyAlignment="1">
      <alignment horizontal="center" vertical="top" wrapText="1"/>
    </xf>
    <xf numFmtId="2" fontId="19" fillId="8" borderId="5" xfId="1" applyNumberFormat="1" applyFont="1" applyFill="1" applyBorder="1" applyAlignment="1">
      <alignment horizontal="center" vertical="top" wrapText="1"/>
    </xf>
    <xf numFmtId="0" fontId="9" fillId="11" borderId="0" xfId="0" applyFont="1" applyFill="1" applyAlignment="1">
      <alignment horizontal="center"/>
    </xf>
    <xf numFmtId="0" fontId="9" fillId="11" borderId="0" xfId="0" applyFont="1" applyFill="1" applyAlignment="1">
      <alignment horizontal="right"/>
    </xf>
    <xf numFmtId="164" fontId="16" fillId="11" borderId="6" xfId="0" applyNumberFormat="1" applyFont="1" applyFill="1" applyBorder="1" applyAlignment="1">
      <alignment horizontal="right" vertical="top"/>
    </xf>
    <xf numFmtId="164" fontId="16" fillId="11" borderId="6" xfId="0" applyNumberFormat="1" applyFont="1" applyFill="1" applyBorder="1" applyAlignment="1">
      <alignment horizontal="center" vertical="top" wrapText="1"/>
    </xf>
    <xf numFmtId="0" fontId="21" fillId="11" borderId="6" xfId="0" applyFont="1" applyFill="1" applyBorder="1" applyAlignment="1">
      <alignment horizontal="center" vertical="top" wrapText="1"/>
    </xf>
    <xf numFmtId="164" fontId="16" fillId="11" borderId="6" xfId="0" quotePrefix="1" applyNumberFormat="1" applyFont="1" applyFill="1" applyBorder="1" applyAlignment="1">
      <alignment horizontal="right" vertical="top"/>
    </xf>
    <xf numFmtId="0" fontId="16" fillId="11" borderId="0" xfId="0" applyFont="1" applyFill="1" applyAlignment="1">
      <alignment horizontal="center"/>
    </xf>
    <xf numFmtId="0" fontId="16" fillId="11" borderId="0" xfId="0" applyFont="1" applyFill="1" applyAlignment="1">
      <alignment horizontal="right"/>
    </xf>
    <xf numFmtId="164" fontId="9" fillId="11" borderId="0" xfId="0" applyNumberFormat="1" applyFont="1" applyFill="1" applyAlignment="1">
      <alignment horizontal="right"/>
    </xf>
    <xf numFmtId="164" fontId="18" fillId="11" borderId="6" xfId="0" applyNumberFormat="1" applyFont="1" applyFill="1" applyBorder="1" applyAlignment="1">
      <alignment horizontal="center" vertical="center" wrapText="1"/>
    </xf>
    <xf numFmtId="164" fontId="16" fillId="11" borderId="0" xfId="0" applyNumberFormat="1" applyFont="1" applyFill="1" applyAlignment="1">
      <alignment horizontal="right"/>
    </xf>
    <xf numFmtId="164" fontId="22" fillId="4" borderId="6" xfId="0" applyNumberFormat="1" applyFont="1" applyFill="1" applyBorder="1" applyAlignment="1">
      <alignment horizontal="center" vertical="top"/>
    </xf>
    <xf numFmtId="3" fontId="20" fillId="4" borderId="3" xfId="12" applyNumberFormat="1" applyFont="1" applyFill="1" applyBorder="1" applyAlignment="1">
      <alignment horizontal="right" vertical="top"/>
    </xf>
    <xf numFmtId="0" fontId="9" fillId="12" borderId="0" xfId="0" applyFont="1" applyFill="1"/>
    <xf numFmtId="0" fontId="20" fillId="12" borderId="6" xfId="13" applyFont="1" applyFill="1" applyBorder="1" applyAlignment="1">
      <alignment horizontal="left" vertical="top" wrapText="1"/>
    </xf>
    <xf numFmtId="0" fontId="20" fillId="12" borderId="6" xfId="4" applyFont="1" applyFill="1" applyBorder="1" applyAlignment="1">
      <alignment horizontal="left" vertical="center" wrapText="1"/>
    </xf>
    <xf numFmtId="0" fontId="16" fillId="12" borderId="0" xfId="0" applyFont="1" applyFill="1"/>
    <xf numFmtId="4" fontId="20" fillId="4" borderId="3" xfId="12" applyNumberFormat="1" applyFont="1" applyFill="1" applyBorder="1" applyAlignment="1">
      <alignment horizontal="right" vertical="top"/>
    </xf>
    <xf numFmtId="164" fontId="9" fillId="13" borderId="0" xfId="0" applyNumberFormat="1" applyFont="1" applyFill="1" applyAlignment="1">
      <alignment horizontal="right"/>
    </xf>
    <xf numFmtId="164" fontId="20" fillId="13" borderId="6" xfId="7" applyNumberFormat="1" applyFont="1" applyFill="1" applyBorder="1" applyAlignment="1">
      <alignment horizontal="right" vertical="top" wrapText="1"/>
    </xf>
    <xf numFmtId="166" fontId="18" fillId="13" borderId="10" xfId="0" applyNumberFormat="1" applyFont="1" applyFill="1" applyBorder="1" applyAlignment="1">
      <alignment vertical="center"/>
    </xf>
    <xf numFmtId="164" fontId="16" fillId="13" borderId="0" xfId="0" applyNumberFormat="1" applyFont="1" applyFill="1" applyAlignment="1">
      <alignment horizontal="right" vertical="top"/>
    </xf>
    <xf numFmtId="0" fontId="20" fillId="4" borderId="6" xfId="4" quotePrefix="1" applyFont="1" applyFill="1" applyBorder="1" applyAlignment="1">
      <alignment vertical="top" wrapText="1"/>
    </xf>
    <xf numFmtId="0" fontId="20" fillId="4" borderId="6" xfId="4" applyFont="1" applyFill="1" applyBorder="1" applyAlignment="1">
      <alignment vertical="top" wrapText="1"/>
    </xf>
    <xf numFmtId="2" fontId="22" fillId="4" borderId="6" xfId="0" applyNumberFormat="1" applyFont="1" applyFill="1" applyBorder="1" applyAlignment="1">
      <alignment horizontal="right" vertical="top"/>
    </xf>
    <xf numFmtId="0" fontId="18" fillId="4" borderId="6" xfId="0" applyFont="1" applyFill="1" applyBorder="1" applyAlignment="1">
      <alignment horizontal="center" vertical="top" wrapText="1"/>
    </xf>
    <xf numFmtId="164" fontId="16" fillId="4" borderId="5" xfId="0" applyNumberFormat="1" applyFont="1" applyFill="1" applyBorder="1" applyAlignment="1">
      <alignment horizontal="right" vertical="top"/>
    </xf>
    <xf numFmtId="164" fontId="22" fillId="4" borderId="6" xfId="7" applyNumberFormat="1" applyFont="1" applyFill="1" applyBorder="1" applyAlignment="1">
      <alignment horizontal="right" vertical="top"/>
    </xf>
    <xf numFmtId="164" fontId="29" fillId="0" borderId="0" xfId="0" applyNumberFormat="1" applyFont="1" applyAlignment="1">
      <alignment horizontal="center" wrapText="1"/>
    </xf>
    <xf numFmtId="164" fontId="23" fillId="0" borderId="6" xfId="7" quotePrefix="1" applyNumberFormat="1" applyFont="1" applyFill="1" applyBorder="1" applyAlignment="1">
      <alignment horizontal="center" vertical="top" wrapText="1"/>
    </xf>
    <xf numFmtId="164" fontId="23" fillId="0" borderId="6" xfId="0" quotePrefix="1" applyNumberFormat="1" applyFont="1" applyFill="1" applyBorder="1" applyAlignment="1">
      <alignment horizontal="center" vertical="top" wrapText="1"/>
    </xf>
    <xf numFmtId="164" fontId="23" fillId="0" borderId="6" xfId="0" quotePrefix="1" applyNumberFormat="1" applyFont="1" applyBorder="1" applyAlignment="1">
      <alignment horizontal="center" vertical="top" wrapText="1"/>
    </xf>
    <xf numFmtId="164" fontId="24" fillId="8" borderId="1" xfId="7" applyNumberFormat="1" applyFont="1" applyFill="1" applyBorder="1" applyAlignment="1">
      <alignment horizontal="center" vertical="top" wrapText="1"/>
    </xf>
    <xf numFmtId="164" fontId="24" fillId="8" borderId="3" xfId="7" applyNumberFormat="1" applyFont="1" applyFill="1" applyBorder="1" applyAlignment="1">
      <alignment horizontal="center" vertical="top" wrapText="1"/>
    </xf>
    <xf numFmtId="164" fontId="23" fillId="0" borderId="6" xfId="7" applyNumberFormat="1" applyFont="1" applyFill="1" applyBorder="1" applyAlignment="1">
      <alignment horizontal="center" vertical="top" wrapText="1"/>
    </xf>
    <xf numFmtId="164" fontId="24" fillId="3" borderId="6" xfId="0" applyNumberFormat="1" applyFont="1" applyFill="1" applyBorder="1" applyAlignment="1">
      <alignment horizontal="center" vertical="center" wrapText="1"/>
    </xf>
    <xf numFmtId="164" fontId="23" fillId="0" borderId="0" xfId="0" applyNumberFormat="1" applyFont="1" applyAlignment="1">
      <alignment horizontal="center" vertical="top" wrapText="1"/>
    </xf>
    <xf numFmtId="164" fontId="20" fillId="4" borderId="5" xfId="7" applyNumberFormat="1" applyFont="1" applyFill="1" applyBorder="1" applyAlignment="1">
      <alignment horizontal="right" vertical="top" wrapText="1"/>
    </xf>
    <xf numFmtId="0" fontId="18" fillId="8" borderId="9" xfId="0" applyFont="1" applyFill="1" applyBorder="1" applyAlignment="1">
      <alignment horizontal="center" vertical="top" wrapText="1"/>
    </xf>
    <xf numFmtId="164" fontId="29" fillId="0" borderId="0" xfId="0" applyNumberFormat="1" applyFont="1" applyFill="1" applyAlignment="1">
      <alignment horizontal="center" wrapText="1"/>
    </xf>
    <xf numFmtId="164" fontId="16" fillId="0" borderId="6" xfId="7" quotePrefix="1" applyNumberFormat="1" applyFont="1" applyFill="1" applyBorder="1" applyAlignment="1">
      <alignment horizontal="center" vertical="top"/>
    </xf>
    <xf numFmtId="2" fontId="19" fillId="0" borderId="6" xfId="0" applyNumberFormat="1" applyFont="1" applyFill="1" applyBorder="1" applyAlignment="1">
      <alignment horizontal="right" vertical="top"/>
    </xf>
    <xf numFmtId="164" fontId="16" fillId="0" borderId="6" xfId="7" applyNumberFormat="1" applyFont="1" applyFill="1" applyBorder="1" applyAlignment="1">
      <alignment horizontal="center" vertical="top"/>
    </xf>
    <xf numFmtId="0" fontId="22" fillId="0" borderId="6" xfId="4" quotePrefix="1" applyFont="1" applyFill="1" applyBorder="1" applyAlignment="1">
      <alignment vertical="top" wrapText="1"/>
    </xf>
    <xf numFmtId="0" fontId="22" fillId="0" borderId="6" xfId="1" applyFont="1" applyFill="1" applyBorder="1" applyAlignment="1">
      <alignment horizontal="left" vertical="top" wrapText="1"/>
    </xf>
    <xf numFmtId="164" fontId="22" fillId="0" borderId="6" xfId="4" applyNumberFormat="1" applyFont="1" applyFill="1" applyBorder="1" applyAlignment="1">
      <alignment horizontal="right" vertical="top"/>
    </xf>
    <xf numFmtId="164" fontId="22" fillId="0" borderId="6" xfId="7" quotePrefix="1" applyNumberFormat="1" applyFont="1" applyFill="1" applyBorder="1" applyAlignment="1">
      <alignment horizontal="right" vertical="top" wrapText="1"/>
    </xf>
    <xf numFmtId="164" fontId="22" fillId="0" borderId="6" xfId="7" quotePrefix="1" applyNumberFormat="1" applyFont="1" applyFill="1" applyBorder="1" applyAlignment="1">
      <alignment horizontal="center" vertical="top"/>
    </xf>
    <xf numFmtId="164" fontId="22" fillId="0" borderId="6" xfId="0" applyNumberFormat="1" applyFont="1" applyFill="1" applyBorder="1" applyAlignment="1">
      <alignment horizontal="right" vertical="top"/>
    </xf>
    <xf numFmtId="2" fontId="22" fillId="0" borderId="6" xfId="0" applyNumberFormat="1" applyFont="1" applyFill="1" applyBorder="1" applyAlignment="1">
      <alignment horizontal="right" vertical="top"/>
    </xf>
    <xf numFmtId="164" fontId="22" fillId="0" borderId="6" xfId="1" applyNumberFormat="1" applyFont="1" applyFill="1" applyBorder="1" applyAlignment="1">
      <alignment horizontal="center" vertical="top"/>
    </xf>
    <xf numFmtId="164" fontId="22" fillId="0" borderId="6" xfId="7" applyNumberFormat="1" applyFont="1" applyFill="1" applyBorder="1" applyAlignment="1">
      <alignment horizontal="center" vertical="top"/>
    </xf>
    <xf numFmtId="9" fontId="19" fillId="8" borderId="6" xfId="1" applyNumberFormat="1" applyFont="1" applyFill="1" applyBorder="1" applyAlignment="1">
      <alignment horizontal="left" vertical="top" wrapText="1"/>
    </xf>
    <xf numFmtId="0" fontId="9" fillId="8" borderId="0" xfId="0" applyFont="1" applyFill="1"/>
    <xf numFmtId="0" fontId="20" fillId="0" borderId="6" xfId="1" applyFont="1" applyFill="1" applyBorder="1" applyAlignment="1">
      <alignment horizontal="left" vertical="top" wrapText="1"/>
    </xf>
    <xf numFmtId="164" fontId="20" fillId="0" borderId="6" xfId="1" quotePrefix="1" applyNumberFormat="1" applyFont="1" applyFill="1" applyBorder="1" applyAlignment="1">
      <alignment horizontal="center" vertical="top"/>
    </xf>
    <xf numFmtId="0" fontId="16" fillId="8" borderId="1" xfId="0" applyFont="1" applyFill="1" applyBorder="1"/>
    <xf numFmtId="0" fontId="17" fillId="8" borderId="1" xfId="4" applyFont="1" applyFill="1" applyBorder="1" applyAlignment="1">
      <alignment horizontal="left" vertical="top" wrapText="1"/>
    </xf>
    <xf numFmtId="164" fontId="18" fillId="8" borderId="1" xfId="1" applyNumberFormat="1" applyFont="1" applyFill="1" applyBorder="1" applyAlignment="1">
      <alignment horizontal="right" vertical="top" wrapText="1"/>
    </xf>
    <xf numFmtId="0" fontId="16" fillId="8" borderId="3" xfId="0" applyFont="1" applyFill="1" applyBorder="1"/>
    <xf numFmtId="0" fontId="17" fillId="8" borderId="3" xfId="4" applyFont="1" applyFill="1" applyBorder="1" applyAlignment="1">
      <alignment horizontal="left" vertical="top" wrapText="1"/>
    </xf>
    <xf numFmtId="164" fontId="18" fillId="8" borderId="3" xfId="1" applyNumberFormat="1" applyFont="1" applyFill="1" applyBorder="1" applyAlignment="1">
      <alignment horizontal="right" vertical="top" wrapText="1"/>
    </xf>
    <xf numFmtId="0" fontId="16" fillId="8" borderId="5" xfId="0" applyFont="1" applyFill="1" applyBorder="1"/>
    <xf numFmtId="0" fontId="17" fillId="8" borderId="5" xfId="4" applyFont="1" applyFill="1" applyBorder="1" applyAlignment="1">
      <alignment horizontal="left" vertical="top" wrapText="1"/>
    </xf>
    <xf numFmtId="164" fontId="18" fillId="8" borderId="5" xfId="1" applyNumberFormat="1" applyFont="1" applyFill="1" applyBorder="1" applyAlignment="1">
      <alignment horizontal="right" vertical="top" wrapText="1"/>
    </xf>
    <xf numFmtId="1" fontId="16" fillId="0" borderId="6" xfId="0" quotePrefix="1" applyNumberFormat="1" applyFont="1" applyFill="1" applyBorder="1" applyAlignment="1">
      <alignment horizontal="center" vertical="top" wrapText="1"/>
    </xf>
    <xf numFmtId="0" fontId="21" fillId="0" borderId="6" xfId="0" quotePrefix="1" applyFont="1" applyFill="1" applyBorder="1" applyAlignment="1">
      <alignment horizontal="center" vertical="center" wrapText="1"/>
    </xf>
    <xf numFmtId="164" fontId="23" fillId="0" borderId="6" xfId="4" quotePrefix="1" applyNumberFormat="1" applyFont="1" applyFill="1" applyBorder="1" applyAlignment="1">
      <alignment horizontal="center" vertical="top" wrapText="1"/>
    </xf>
    <xf numFmtId="164" fontId="20" fillId="0" borderId="6" xfId="4" applyNumberFormat="1" applyFont="1" applyFill="1" applyBorder="1" applyAlignment="1">
      <alignment horizontal="center" vertical="top"/>
    </xf>
    <xf numFmtId="164" fontId="20" fillId="0" borderId="6" xfId="4" quotePrefix="1" applyNumberFormat="1" applyFont="1" applyFill="1" applyBorder="1" applyAlignment="1">
      <alignment horizontal="right" vertical="top"/>
    </xf>
    <xf numFmtId="0" fontId="20" fillId="0" borderId="6" xfId="8" applyFont="1" applyFill="1" applyBorder="1" applyAlignment="1">
      <alignment horizontal="left" vertical="center" wrapText="1"/>
    </xf>
    <xf numFmtId="164" fontId="20" fillId="0" borderId="6" xfId="4" quotePrefix="1" applyNumberFormat="1" applyFont="1" applyFill="1" applyBorder="1" applyAlignment="1">
      <alignment horizontal="center" vertical="top"/>
    </xf>
    <xf numFmtId="0" fontId="20" fillId="0" borderId="6" xfId="1" quotePrefix="1" applyFont="1" applyFill="1" applyBorder="1" applyAlignment="1">
      <alignment horizontal="center" vertical="top" wrapText="1"/>
    </xf>
    <xf numFmtId="164" fontId="20" fillId="0" borderId="6" xfId="1" applyNumberFormat="1" applyFont="1" applyFill="1" applyBorder="1" applyAlignment="1">
      <alignment horizontal="center" vertical="top"/>
    </xf>
    <xf numFmtId="0" fontId="20" fillId="0" borderId="6" xfId="8" applyFont="1" applyFill="1" applyBorder="1" applyAlignment="1">
      <alignment horizontal="left" vertical="top" wrapText="1"/>
    </xf>
    <xf numFmtId="0" fontId="20" fillId="0" borderId="6" xfId="1" quotePrefix="1" applyFont="1" applyFill="1" applyBorder="1" applyAlignment="1">
      <alignment horizontal="left" vertical="top" wrapText="1"/>
    </xf>
    <xf numFmtId="164" fontId="16" fillId="0" borderId="6" xfId="11" applyNumberFormat="1" applyFont="1" applyFill="1" applyBorder="1" applyAlignment="1">
      <alignment vertical="top"/>
    </xf>
    <xf numFmtId="164" fontId="16" fillId="0" borderId="0" xfId="11" applyNumberFormat="1" applyFont="1" applyFill="1" applyAlignment="1">
      <alignment vertical="top"/>
    </xf>
    <xf numFmtId="164" fontId="23" fillId="0" borderId="6" xfId="0" applyNumberFormat="1" applyFont="1" applyFill="1" applyBorder="1" applyAlignment="1">
      <alignment horizontal="right" vertical="top"/>
    </xf>
    <xf numFmtId="0" fontId="16" fillId="0" borderId="6" xfId="0" applyFont="1" applyFill="1" applyBorder="1" applyAlignment="1">
      <alignment vertical="center" wrapText="1"/>
    </xf>
    <xf numFmtId="0" fontId="16" fillId="0" borderId="6" xfId="0" quotePrefix="1" applyFont="1" applyFill="1" applyBorder="1" applyAlignment="1">
      <alignment vertical="top"/>
    </xf>
    <xf numFmtId="0" fontId="18" fillId="0" borderId="9" xfId="0" applyFont="1" applyFill="1" applyBorder="1" applyAlignment="1">
      <alignment horizontal="center" vertical="top" wrapText="1"/>
    </xf>
    <xf numFmtId="1" fontId="16" fillId="8" borderId="6" xfId="0" applyNumberFormat="1" applyFont="1" applyFill="1" applyBorder="1" applyAlignment="1">
      <alignment horizontal="center" vertical="center" wrapText="1"/>
    </xf>
    <xf numFmtId="1" fontId="16" fillId="8" borderId="6" xfId="0" quotePrefix="1" applyNumberFormat="1" applyFont="1" applyFill="1" applyBorder="1" applyAlignment="1">
      <alignment horizontal="center" vertical="center" wrapText="1"/>
    </xf>
    <xf numFmtId="0" fontId="16" fillId="8" borderId="6" xfId="0" quotePrefix="1" applyFont="1" applyFill="1" applyBorder="1" applyAlignment="1">
      <alignment vertical="center"/>
    </xf>
    <xf numFmtId="164" fontId="16" fillId="8" borderId="6" xfId="0" applyNumberFormat="1" applyFont="1" applyFill="1" applyBorder="1" applyAlignment="1">
      <alignment horizontal="center" vertical="top" wrapText="1"/>
    </xf>
    <xf numFmtId="164" fontId="16" fillId="8" borderId="6" xfId="0" applyNumberFormat="1" applyFont="1" applyFill="1" applyBorder="1" applyAlignment="1">
      <alignment horizontal="right" vertical="top"/>
    </xf>
    <xf numFmtId="164" fontId="16" fillId="8" borderId="6" xfId="0" quotePrefix="1" applyNumberFormat="1" applyFont="1" applyFill="1" applyBorder="1" applyAlignment="1">
      <alignment horizontal="center" vertical="top"/>
    </xf>
    <xf numFmtId="2" fontId="16" fillId="8" borderId="6" xfId="0" applyNumberFormat="1" applyFont="1" applyFill="1" applyBorder="1" applyAlignment="1">
      <alignment horizontal="right" vertical="top"/>
    </xf>
    <xf numFmtId="0" fontId="18" fillId="0" borderId="5" xfId="0" applyFont="1" applyFill="1" applyBorder="1" applyAlignment="1">
      <alignment horizontal="center" vertical="top" wrapText="1"/>
    </xf>
    <xf numFmtId="164" fontId="9" fillId="0" borderId="0" xfId="0" applyNumberFormat="1" applyFont="1" applyFill="1" applyAlignment="1">
      <alignment horizontal="right" vertical="top"/>
    </xf>
    <xf numFmtId="164" fontId="29" fillId="0" borderId="0" xfId="0" applyNumberFormat="1" applyFont="1" applyFill="1" applyAlignment="1">
      <alignment horizontal="center" vertical="top" wrapText="1"/>
    </xf>
    <xf numFmtId="164" fontId="9" fillId="0" borderId="0" xfId="0" applyNumberFormat="1" applyFont="1" applyFill="1" applyAlignment="1">
      <alignment horizontal="center" vertical="top"/>
    </xf>
    <xf numFmtId="0" fontId="31" fillId="0" borderId="0" xfId="0" applyFont="1" applyFill="1" applyAlignment="1">
      <alignment horizontal="center"/>
    </xf>
    <xf numFmtId="164" fontId="9" fillId="0" borderId="0" xfId="0" applyNumberFormat="1" applyFont="1" applyFill="1" applyAlignment="1">
      <alignment horizontal="center"/>
    </xf>
    <xf numFmtId="1" fontId="16" fillId="0" borderId="5" xfId="0" applyNumberFormat="1" applyFont="1" applyBorder="1" applyAlignment="1">
      <alignment horizontal="center" vertical="top" wrapText="1"/>
    </xf>
    <xf numFmtId="0" fontId="9" fillId="9" borderId="0" xfId="0" applyFont="1" applyFill="1" applyAlignment="1">
      <alignment horizontal="center"/>
    </xf>
    <xf numFmtId="164" fontId="20" fillId="9" borderId="6" xfId="1" quotePrefix="1" applyNumberFormat="1" applyFont="1" applyFill="1" applyBorder="1" applyAlignment="1">
      <alignment horizontal="center" vertical="top" wrapText="1"/>
    </xf>
    <xf numFmtId="164" fontId="16" fillId="9" borderId="6" xfId="0" applyNumberFormat="1" applyFont="1" applyFill="1" applyBorder="1" applyAlignment="1">
      <alignment horizontal="center" vertical="top" wrapText="1"/>
    </xf>
    <xf numFmtId="0" fontId="18" fillId="9" borderId="6" xfId="0" applyFont="1" applyFill="1" applyBorder="1" applyAlignment="1">
      <alignment horizontal="center" vertical="center"/>
    </xf>
    <xf numFmtId="0" fontId="16" fillId="9" borderId="0" xfId="0" applyFont="1" applyFill="1" applyAlignment="1">
      <alignment horizontal="center"/>
    </xf>
    <xf numFmtId="164" fontId="20" fillId="0" borderId="5" xfId="1" quotePrefix="1" applyNumberFormat="1" applyFont="1" applyFill="1" applyBorder="1" applyAlignment="1">
      <alignment horizontal="center" vertical="top" wrapText="1"/>
    </xf>
    <xf numFmtId="164" fontId="23" fillId="0" borderId="6" xfId="1" applyNumberFormat="1" applyFont="1" applyBorder="1" applyAlignment="1">
      <alignment horizontal="center" vertical="top" wrapText="1"/>
    </xf>
    <xf numFmtId="1" fontId="18" fillId="8" borderId="6" xfId="0" applyNumberFormat="1" applyFont="1" applyFill="1" applyBorder="1" applyAlignment="1">
      <alignment horizontal="center" vertical="top"/>
    </xf>
    <xf numFmtId="1" fontId="16" fillId="0" borderId="6" xfId="0" applyNumberFormat="1" applyFont="1" applyFill="1" applyBorder="1" applyAlignment="1">
      <alignment horizontal="center" vertical="top" wrapText="1"/>
    </xf>
    <xf numFmtId="1" fontId="16" fillId="8" borderId="6" xfId="0" applyNumberFormat="1" applyFont="1" applyFill="1" applyBorder="1" applyAlignment="1">
      <alignment horizontal="center" vertical="top" wrapText="1"/>
    </xf>
    <xf numFmtId="1" fontId="9" fillId="11" borderId="0" xfId="0" applyNumberFormat="1" applyFont="1" applyFill="1" applyAlignment="1">
      <alignment horizontal="right" vertical="top"/>
    </xf>
    <xf numFmtId="1" fontId="9" fillId="0" borderId="0" xfId="0" applyNumberFormat="1" applyFont="1" applyFill="1" applyAlignment="1">
      <alignment horizontal="right" vertical="top"/>
    </xf>
    <xf numFmtId="1" fontId="18" fillId="8" borderId="6" xfId="0" applyNumberFormat="1" applyFont="1" applyFill="1" applyBorder="1" applyAlignment="1">
      <alignment horizontal="right" vertical="top"/>
    </xf>
    <xf numFmtId="1" fontId="16" fillId="4" borderId="6" xfId="0" applyNumberFormat="1" applyFont="1" applyFill="1" applyBorder="1" applyAlignment="1">
      <alignment horizontal="right" vertical="top" wrapText="1"/>
    </xf>
    <xf numFmtId="1" fontId="22" fillId="4" borderId="6" xfId="0" applyNumberFormat="1" applyFont="1" applyFill="1" applyBorder="1" applyAlignment="1">
      <alignment horizontal="right" vertical="top" wrapText="1"/>
    </xf>
    <xf numFmtId="1" fontId="22" fillId="0" borderId="6" xfId="0" applyNumberFormat="1" applyFont="1" applyFill="1" applyBorder="1" applyAlignment="1">
      <alignment horizontal="right" vertical="top" wrapText="1"/>
    </xf>
    <xf numFmtId="1" fontId="20" fillId="4" borderId="6" xfId="1" applyNumberFormat="1" applyFont="1" applyFill="1" applyBorder="1" applyAlignment="1">
      <alignment horizontal="right" vertical="top" wrapText="1"/>
    </xf>
    <xf numFmtId="1" fontId="21" fillId="4" borderId="6" xfId="0" applyNumberFormat="1" applyFont="1" applyFill="1" applyBorder="1" applyAlignment="1">
      <alignment horizontal="right" vertical="top" wrapText="1"/>
    </xf>
    <xf numFmtId="1" fontId="20" fillId="4" borderId="6" xfId="1" quotePrefix="1" applyNumberFormat="1" applyFont="1" applyFill="1" applyBorder="1" applyAlignment="1">
      <alignment horizontal="right" vertical="top" wrapText="1"/>
    </xf>
    <xf numFmtId="1" fontId="21" fillId="0" borderId="6" xfId="0" applyNumberFormat="1" applyFont="1" applyFill="1" applyBorder="1" applyAlignment="1">
      <alignment horizontal="right" vertical="top" wrapText="1"/>
    </xf>
    <xf numFmtId="1" fontId="19" fillId="8" borderId="6" xfId="0" applyNumberFormat="1" applyFont="1" applyFill="1" applyBorder="1" applyAlignment="1">
      <alignment horizontal="right" vertical="top" wrapText="1"/>
    </xf>
    <xf numFmtId="1" fontId="22" fillId="4" borderId="6" xfId="0" applyNumberFormat="1" applyFont="1" applyFill="1" applyBorder="1" applyAlignment="1">
      <alignment horizontal="right" vertical="top"/>
    </xf>
    <xf numFmtId="1" fontId="16" fillId="11" borderId="6" xfId="0" quotePrefix="1" applyNumberFormat="1" applyFont="1" applyFill="1" applyBorder="1" applyAlignment="1">
      <alignment horizontal="right" vertical="top" wrapText="1"/>
    </xf>
    <xf numFmtId="1" fontId="20" fillId="0" borderId="6" xfId="1" applyNumberFormat="1" applyFont="1" applyFill="1" applyBorder="1" applyAlignment="1">
      <alignment horizontal="right" vertical="top" wrapText="1"/>
    </xf>
    <xf numFmtId="1" fontId="19" fillId="8" borderId="1" xfId="7" applyNumberFormat="1" applyFont="1" applyFill="1" applyBorder="1" applyAlignment="1">
      <alignment horizontal="right" vertical="top" wrapText="1"/>
    </xf>
    <xf numFmtId="1" fontId="17" fillId="8" borderId="3" xfId="1" applyNumberFormat="1" applyFont="1" applyFill="1" applyBorder="1" applyAlignment="1">
      <alignment horizontal="right" vertical="top" wrapText="1"/>
    </xf>
    <xf numFmtId="1" fontId="20" fillId="4" borderId="5" xfId="1" applyNumberFormat="1" applyFont="1" applyFill="1" applyBorder="1" applyAlignment="1">
      <alignment horizontal="right" vertical="top" wrapText="1"/>
    </xf>
    <xf numFmtId="1" fontId="16" fillId="4" borderId="0" xfId="11" quotePrefix="1" applyNumberFormat="1" applyFont="1" applyFill="1" applyAlignment="1">
      <alignment horizontal="right" vertical="top" wrapText="1"/>
    </xf>
    <xf numFmtId="1" fontId="16" fillId="0" borderId="6" xfId="7" applyNumberFormat="1" applyFont="1" applyFill="1" applyBorder="1" applyAlignment="1">
      <alignment horizontal="right" vertical="top" wrapText="1"/>
    </xf>
    <xf numFmtId="1" fontId="16" fillId="0" borderId="6" xfId="1" applyNumberFormat="1" applyFont="1" applyFill="1" applyBorder="1" applyAlignment="1">
      <alignment horizontal="right" vertical="top" wrapText="1"/>
    </xf>
    <xf numFmtId="1" fontId="21" fillId="0" borderId="6" xfId="0" quotePrefix="1" applyNumberFormat="1" applyFont="1" applyFill="1" applyBorder="1" applyAlignment="1">
      <alignment horizontal="right" vertical="top" wrapText="1"/>
    </xf>
    <xf numFmtId="1" fontId="20" fillId="0" borderId="6" xfId="8" quotePrefix="1" applyNumberFormat="1" applyFont="1" applyFill="1" applyBorder="1" applyAlignment="1">
      <alignment horizontal="right" vertical="top" wrapText="1"/>
    </xf>
    <xf numFmtId="1" fontId="20" fillId="0" borderId="6" xfId="8" applyNumberFormat="1" applyFont="1" applyFill="1" applyBorder="1" applyAlignment="1">
      <alignment horizontal="right" vertical="top" wrapText="1"/>
    </xf>
    <xf numFmtId="1" fontId="16" fillId="0" borderId="6" xfId="0" applyNumberFormat="1" applyFont="1" applyFill="1" applyBorder="1" applyAlignment="1">
      <alignment horizontal="right" vertical="top" wrapText="1"/>
    </xf>
    <xf numFmtId="1" fontId="16" fillId="0" borderId="6" xfId="0" quotePrefix="1" applyNumberFormat="1" applyFont="1" applyFill="1" applyBorder="1" applyAlignment="1">
      <alignment horizontal="right" vertical="top" wrapText="1"/>
    </xf>
    <xf numFmtId="1" fontId="16" fillId="11" borderId="6" xfId="0" applyNumberFormat="1" applyFont="1" applyFill="1" applyBorder="1" applyAlignment="1">
      <alignment horizontal="right" vertical="top" wrapText="1"/>
    </xf>
    <xf numFmtId="1" fontId="18" fillId="11" borderId="8" xfId="0" applyNumberFormat="1" applyFont="1" applyFill="1" applyBorder="1" applyAlignment="1">
      <alignment horizontal="right" vertical="top"/>
    </xf>
    <xf numFmtId="1" fontId="16" fillId="11" borderId="0" xfId="0" applyNumberFormat="1" applyFont="1" applyFill="1" applyAlignment="1">
      <alignment horizontal="right" vertical="top"/>
    </xf>
    <xf numFmtId="2" fontId="22" fillId="8" borderId="6" xfId="0" applyNumberFormat="1" applyFont="1" applyFill="1" applyBorder="1" applyAlignment="1">
      <alignment horizontal="center" vertical="top"/>
    </xf>
    <xf numFmtId="2" fontId="16" fillId="8" borderId="6" xfId="0" applyNumberFormat="1" applyFont="1" applyFill="1" applyBorder="1" applyAlignment="1">
      <alignment horizontal="center" vertical="top"/>
    </xf>
    <xf numFmtId="1" fontId="18" fillId="8" borderId="6" xfId="0" applyNumberFormat="1" applyFont="1" applyFill="1" applyBorder="1" applyAlignment="1">
      <alignment horizontal="center" vertical="top" wrapText="1"/>
    </xf>
    <xf numFmtId="164" fontId="16" fillId="0" borderId="6" xfId="16" applyFont="1" applyFill="1" applyBorder="1" applyAlignment="1">
      <alignment horizontal="right" vertical="top"/>
    </xf>
    <xf numFmtId="1" fontId="17" fillId="8" borderId="6" xfId="1" applyNumberFormat="1" applyFont="1" applyFill="1" applyBorder="1" applyAlignment="1">
      <alignment horizontal="right" vertical="top" wrapText="1"/>
    </xf>
    <xf numFmtId="1" fontId="27" fillId="8" borderId="6" xfId="1"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164" fontId="17" fillId="8" borderId="5" xfId="16" applyFont="1" applyFill="1" applyBorder="1" applyAlignment="1">
      <alignment horizontal="right" vertical="top" wrapText="1"/>
    </xf>
    <xf numFmtId="164" fontId="17" fillId="8" borderId="3" xfId="16" applyFont="1" applyFill="1" applyBorder="1" applyAlignment="1">
      <alignment horizontal="right" vertical="top" wrapText="1"/>
    </xf>
    <xf numFmtId="164" fontId="21" fillId="0" borderId="6" xfId="16" quotePrefix="1" applyFont="1" applyFill="1" applyBorder="1" applyAlignment="1">
      <alignment horizontal="right" vertical="top" wrapText="1"/>
    </xf>
    <xf numFmtId="164" fontId="20" fillId="0" borderId="6" xfId="16" quotePrefix="1" applyFont="1" applyFill="1" applyBorder="1" applyAlignment="1">
      <alignment horizontal="right" vertical="top" wrapText="1"/>
    </xf>
    <xf numFmtId="164" fontId="20" fillId="0" borderId="6" xfId="16" applyFont="1" applyFill="1" applyBorder="1" applyAlignment="1">
      <alignment horizontal="center" vertical="top" wrapText="1"/>
    </xf>
    <xf numFmtId="164" fontId="17" fillId="8" borderId="6" xfId="7" applyNumberFormat="1" applyFont="1" applyFill="1" applyBorder="1" applyAlignment="1">
      <alignment horizontal="right" vertical="top" wrapText="1"/>
    </xf>
    <xf numFmtId="1" fontId="18" fillId="8" borderId="6" xfId="0" applyNumberFormat="1" applyFont="1" applyFill="1" applyBorder="1" applyAlignment="1">
      <alignment horizontal="right" vertical="top" wrapText="1"/>
    </xf>
    <xf numFmtId="0" fontId="32" fillId="8" borderId="6" xfId="0" applyFont="1" applyFill="1" applyBorder="1" applyAlignment="1">
      <alignment horizontal="center" vertical="top" wrapText="1"/>
    </xf>
    <xf numFmtId="0" fontId="17" fillId="8" borderId="6" xfId="4" applyFont="1" applyFill="1" applyBorder="1" applyAlignment="1">
      <alignment horizontal="left" vertical="center" wrapText="1"/>
    </xf>
    <xf numFmtId="164" fontId="20" fillId="9" borderId="6" xfId="1" applyNumberFormat="1" applyFont="1" applyFill="1" applyBorder="1" applyAlignment="1">
      <alignment horizontal="center" vertical="top" wrapText="1"/>
    </xf>
    <xf numFmtId="164" fontId="20" fillId="9" borderId="6" xfId="7" applyNumberFormat="1" applyFont="1" applyFill="1" applyBorder="1" applyAlignment="1">
      <alignment horizontal="right" vertical="top" wrapText="1"/>
    </xf>
    <xf numFmtId="164" fontId="23" fillId="9" borderId="6" xfId="12" applyNumberFormat="1" applyFont="1" applyFill="1" applyBorder="1" applyAlignment="1">
      <alignment horizontal="right" vertical="top"/>
    </xf>
    <xf numFmtId="164" fontId="23" fillId="9" borderId="6" xfId="7" quotePrefix="1" applyNumberFormat="1" applyFont="1" applyFill="1" applyBorder="1" applyAlignment="1">
      <alignment horizontal="center" vertical="top" wrapText="1"/>
    </xf>
    <xf numFmtId="164" fontId="20" fillId="9" borderId="6" xfId="16" applyFont="1" applyFill="1" applyBorder="1" applyAlignment="1">
      <alignment horizontal="center" vertical="top" wrapText="1"/>
    </xf>
    <xf numFmtId="164" fontId="16" fillId="9" borderId="6" xfId="7" quotePrefix="1" applyNumberFormat="1" applyFont="1" applyFill="1" applyBorder="1" applyAlignment="1">
      <alignment horizontal="right" vertical="top"/>
    </xf>
    <xf numFmtId="164" fontId="23" fillId="9" borderId="6" xfId="0" applyNumberFormat="1" applyFont="1" applyFill="1" applyBorder="1" applyAlignment="1">
      <alignment horizontal="center" vertical="top" wrapText="1"/>
    </xf>
    <xf numFmtId="164" fontId="23" fillId="9" borderId="6" xfId="7" applyNumberFormat="1" applyFont="1" applyFill="1" applyBorder="1" applyAlignment="1">
      <alignment horizontal="center" vertical="top" wrapText="1"/>
    </xf>
    <xf numFmtId="164" fontId="29" fillId="14" borderId="0" xfId="0" applyNumberFormat="1" applyFont="1" applyFill="1" applyAlignment="1">
      <alignment horizontal="right"/>
    </xf>
    <xf numFmtId="164" fontId="29" fillId="9" borderId="0" xfId="0" applyNumberFormat="1" applyFont="1" applyFill="1" applyAlignment="1">
      <alignment horizontal="center" wrapText="1"/>
    </xf>
    <xf numFmtId="164" fontId="29" fillId="9" borderId="0" xfId="0" applyNumberFormat="1" applyFont="1" applyFill="1" applyAlignment="1">
      <alignment horizontal="right"/>
    </xf>
    <xf numFmtId="164" fontId="29" fillId="0" borderId="0" xfId="0" applyNumberFormat="1" applyFont="1" applyFill="1" applyAlignment="1">
      <alignment horizontal="right"/>
    </xf>
    <xf numFmtId="164" fontId="23" fillId="4" borderId="6" xfId="0" applyNumberFormat="1" applyFont="1" applyFill="1" applyBorder="1" applyAlignment="1">
      <alignment horizontal="right" vertical="top"/>
    </xf>
    <xf numFmtId="164" fontId="23" fillId="9" borderId="6" xfId="0" applyNumberFormat="1" applyFont="1" applyFill="1" applyBorder="1" applyAlignment="1">
      <alignment horizontal="right" vertical="top"/>
    </xf>
    <xf numFmtId="164" fontId="23" fillId="0" borderId="6" xfId="7" applyNumberFormat="1" applyFont="1" applyFill="1" applyBorder="1" applyAlignment="1">
      <alignment horizontal="right" vertical="top"/>
    </xf>
    <xf numFmtId="164" fontId="23" fillId="9" borderId="6" xfId="7" applyNumberFormat="1" applyFont="1" applyFill="1" applyBorder="1" applyAlignment="1">
      <alignment horizontal="right" vertical="top"/>
    </xf>
    <xf numFmtId="164" fontId="23" fillId="0" borderId="6" xfId="7" quotePrefix="1" applyNumberFormat="1" applyFont="1" applyFill="1" applyBorder="1" applyAlignment="1">
      <alignment horizontal="right" vertical="top"/>
    </xf>
    <xf numFmtId="164" fontId="23" fillId="9" borderId="6" xfId="1" applyNumberFormat="1" applyFont="1" applyFill="1" applyBorder="1" applyAlignment="1">
      <alignment horizontal="center" vertical="top" wrapText="1"/>
    </xf>
    <xf numFmtId="164" fontId="23" fillId="9" borderId="6" xfId="7" quotePrefix="1" applyNumberFormat="1" applyFont="1" applyFill="1" applyBorder="1" applyAlignment="1">
      <alignment horizontal="right" vertical="top"/>
    </xf>
    <xf numFmtId="164" fontId="23" fillId="14" borderId="6" xfId="0" applyNumberFormat="1" applyFont="1" applyFill="1" applyBorder="1" applyAlignment="1">
      <alignment horizontal="right" vertical="top"/>
    </xf>
    <xf numFmtId="164" fontId="24" fillId="8" borderId="3" xfId="7" applyNumberFormat="1" applyFont="1" applyFill="1" applyBorder="1" applyAlignment="1">
      <alignment horizontal="right" vertical="top"/>
    </xf>
    <xf numFmtId="164" fontId="24" fillId="8" borderId="5" xfId="7" applyNumberFormat="1" applyFont="1" applyFill="1" applyBorder="1" applyAlignment="1">
      <alignment horizontal="right" vertical="top"/>
    </xf>
    <xf numFmtId="164" fontId="23" fillId="0" borderId="6" xfId="12" applyNumberFormat="1" applyFont="1" applyFill="1" applyBorder="1" applyAlignment="1">
      <alignment horizontal="right" vertical="top"/>
    </xf>
    <xf numFmtId="164" fontId="23" fillId="0" borderId="6" xfId="12" quotePrefix="1" applyNumberFormat="1" applyFont="1" applyFill="1" applyBorder="1" applyAlignment="1">
      <alignment horizontal="right" vertical="top"/>
    </xf>
    <xf numFmtId="164" fontId="23" fillId="9" borderId="6" xfId="12" quotePrefix="1" applyNumberFormat="1" applyFont="1" applyFill="1" applyBorder="1" applyAlignment="1">
      <alignment horizontal="right" vertical="top"/>
    </xf>
    <xf numFmtId="164" fontId="23" fillId="9" borderId="6" xfId="4" applyNumberFormat="1" applyFont="1" applyFill="1" applyBorder="1" applyAlignment="1">
      <alignment horizontal="center" vertical="top" wrapText="1"/>
    </xf>
    <xf numFmtId="164" fontId="23" fillId="9" borderId="6" xfId="4" quotePrefix="1" applyNumberFormat="1" applyFont="1" applyFill="1" applyBorder="1" applyAlignment="1">
      <alignment horizontal="center" vertical="top" wrapText="1"/>
    </xf>
    <xf numFmtId="164" fontId="23" fillId="9" borderId="6" xfId="0" quotePrefix="1" applyNumberFormat="1" applyFont="1" applyFill="1" applyBorder="1" applyAlignment="1">
      <alignment horizontal="center" vertical="top" wrapText="1"/>
    </xf>
    <xf numFmtId="164" fontId="23" fillId="8" borderId="6" xfId="0" applyNumberFormat="1" applyFont="1" applyFill="1" applyBorder="1" applyAlignment="1">
      <alignment horizontal="center" vertical="top" wrapText="1"/>
    </xf>
    <xf numFmtId="164" fontId="23" fillId="8" borderId="6" xfId="12" applyNumberFormat="1" applyFont="1" applyFill="1" applyBorder="1" applyAlignment="1">
      <alignment horizontal="right" vertical="top"/>
    </xf>
    <xf numFmtId="164" fontId="23" fillId="14" borderId="6" xfId="12" applyNumberFormat="1" applyFont="1" applyFill="1" applyBorder="1" applyAlignment="1">
      <alignment horizontal="right" vertical="top"/>
    </xf>
    <xf numFmtId="164" fontId="24" fillId="9" borderId="6" xfId="0" applyNumberFormat="1" applyFont="1" applyFill="1" applyBorder="1" applyAlignment="1">
      <alignment horizontal="center" vertical="center" wrapText="1"/>
    </xf>
    <xf numFmtId="164" fontId="23" fillId="14" borderId="0" xfId="0" applyNumberFormat="1" applyFont="1" applyFill="1" applyAlignment="1">
      <alignment horizontal="right" vertical="top"/>
    </xf>
    <xf numFmtId="164" fontId="23" fillId="9" borderId="0" xfId="0" applyNumberFormat="1" applyFont="1" applyFill="1" applyAlignment="1">
      <alignment horizontal="center" vertical="top" wrapText="1"/>
    </xf>
    <xf numFmtId="164" fontId="23" fillId="9" borderId="0" xfId="0" applyNumberFormat="1" applyFont="1" applyFill="1" applyAlignment="1">
      <alignment horizontal="right" vertical="top"/>
    </xf>
    <xf numFmtId="164" fontId="29" fillId="0" borderId="0" xfId="0" applyNumberFormat="1" applyFont="1" applyFill="1" applyAlignment="1">
      <alignment horizontal="right" vertical="top"/>
    </xf>
    <xf numFmtId="0" fontId="22" fillId="8" borderId="6" xfId="4" applyFont="1" applyFill="1" applyBorder="1" applyAlignment="1">
      <alignment horizontal="left" vertical="center" wrapText="1"/>
    </xf>
    <xf numFmtId="164" fontId="22" fillId="4" borderId="6" xfId="0" applyNumberFormat="1" applyFont="1" applyFill="1" applyBorder="1" applyAlignment="1">
      <alignment horizontal="right" vertical="top"/>
    </xf>
    <xf numFmtId="164" fontId="22" fillId="0" borderId="6" xfId="0" applyNumberFormat="1" applyFont="1" applyFill="1" applyBorder="1" applyAlignment="1">
      <alignment horizontal="center" vertical="top" wrapText="1"/>
    </xf>
    <xf numFmtId="164" fontId="22" fillId="0" borderId="6" xfId="0" quotePrefix="1" applyNumberFormat="1" applyFont="1" applyFill="1" applyBorder="1" applyAlignment="1">
      <alignment horizontal="right" vertical="top"/>
    </xf>
    <xf numFmtId="164" fontId="22" fillId="0" borderId="6" xfId="7" quotePrefix="1" applyNumberFormat="1" applyFont="1" applyFill="1" applyBorder="1" applyAlignment="1">
      <alignment horizontal="center" vertical="top" wrapText="1"/>
    </xf>
    <xf numFmtId="164" fontId="22" fillId="0" borderId="6" xfId="7" quotePrefix="1" applyNumberFormat="1" applyFont="1" applyFill="1" applyBorder="1" applyAlignment="1">
      <alignment horizontal="right" vertical="top"/>
    </xf>
    <xf numFmtId="164" fontId="22" fillId="4" borderId="6" xfId="7" applyNumberFormat="1" applyFont="1" applyFill="1" applyBorder="1" applyAlignment="1">
      <alignment horizontal="center" vertical="top" wrapText="1"/>
    </xf>
    <xf numFmtId="164" fontId="22" fillId="4" borderId="6" xfId="7" quotePrefix="1" applyNumberFormat="1" applyFont="1" applyFill="1" applyBorder="1" applyAlignment="1">
      <alignment horizontal="right" vertical="top"/>
    </xf>
    <xf numFmtId="164" fontId="22" fillId="0" borderId="6" xfId="7" quotePrefix="1" applyNumberFormat="1" applyFont="1" applyBorder="1" applyAlignment="1">
      <alignment horizontal="center" vertical="top" wrapText="1"/>
    </xf>
    <xf numFmtId="164" fontId="19" fillId="4" borderId="6" xfId="7" quotePrefix="1" applyNumberFormat="1" applyFont="1" applyFill="1" applyBorder="1" applyAlignment="1">
      <alignment horizontal="center" vertical="top" wrapText="1"/>
    </xf>
    <xf numFmtId="164" fontId="19" fillId="0" borderId="6" xfId="0" applyNumberFormat="1" applyFont="1" applyFill="1" applyBorder="1" applyAlignment="1">
      <alignment horizontal="right" vertical="top"/>
    </xf>
    <xf numFmtId="164" fontId="22" fillId="0" borderId="6" xfId="0" quotePrefix="1" applyNumberFormat="1" applyFont="1" applyFill="1" applyBorder="1" applyAlignment="1">
      <alignment horizontal="center" vertical="top" wrapText="1"/>
    </xf>
    <xf numFmtId="164" fontId="19" fillId="0" borderId="6" xfId="7" quotePrefix="1" applyNumberFormat="1" applyFont="1" applyFill="1" applyBorder="1" applyAlignment="1">
      <alignment horizontal="center" vertical="top" wrapText="1"/>
    </xf>
    <xf numFmtId="164" fontId="19" fillId="8" borderId="6" xfId="7" quotePrefix="1" applyNumberFormat="1" applyFont="1" applyFill="1" applyBorder="1" applyAlignment="1">
      <alignment horizontal="center" vertical="top" wrapText="1"/>
    </xf>
    <xf numFmtId="164" fontId="19" fillId="8" borderId="6" xfId="7" applyNumberFormat="1" applyFont="1" applyFill="1" applyBorder="1" applyAlignment="1">
      <alignment horizontal="center" vertical="top" wrapText="1"/>
    </xf>
    <xf numFmtId="164" fontId="22" fillId="0" borderId="6" xfId="7" applyNumberFormat="1" applyFont="1" applyBorder="1" applyAlignment="1">
      <alignment horizontal="center" vertical="top" wrapText="1"/>
    </xf>
    <xf numFmtId="164" fontId="22" fillId="0" borderId="6" xfId="0" applyNumberFormat="1" applyFont="1" applyBorder="1" applyAlignment="1">
      <alignment horizontal="center" vertical="top" wrapText="1"/>
    </xf>
    <xf numFmtId="164" fontId="22" fillId="0" borderId="5" xfId="7" applyNumberFormat="1" applyFont="1" applyFill="1" applyBorder="1" applyAlignment="1">
      <alignment horizontal="center" vertical="top" wrapText="1"/>
    </xf>
    <xf numFmtId="164" fontId="22" fillId="0" borderId="3" xfId="12" applyNumberFormat="1" applyFont="1" applyFill="1" applyBorder="1" applyAlignment="1">
      <alignment horizontal="right" vertical="top"/>
    </xf>
    <xf numFmtId="164" fontId="22" fillId="0" borderId="6" xfId="12" applyNumberFormat="1" applyFont="1" applyFill="1" applyBorder="1" applyAlignment="1">
      <alignment horizontal="right" vertical="top"/>
    </xf>
    <xf numFmtId="164" fontId="22" fillId="0" borderId="6" xfId="12" quotePrefix="1" applyNumberFormat="1" applyFont="1" applyFill="1" applyBorder="1" applyAlignment="1">
      <alignment horizontal="right" vertical="top"/>
    </xf>
    <xf numFmtId="164" fontId="22" fillId="0" borderId="6" xfId="4" quotePrefix="1" applyNumberFormat="1" applyFont="1" applyFill="1" applyBorder="1" applyAlignment="1">
      <alignment horizontal="center" vertical="top" wrapText="1"/>
    </xf>
    <xf numFmtId="164" fontId="22" fillId="0" borderId="6" xfId="4" applyNumberFormat="1" applyFont="1" applyFill="1" applyBorder="1" applyAlignment="1">
      <alignment horizontal="center" vertical="top" wrapText="1"/>
    </xf>
    <xf numFmtId="0" fontId="6" fillId="0" borderId="0" xfId="0" applyFont="1" applyFill="1" applyAlignment="1">
      <alignment horizontal="center"/>
    </xf>
    <xf numFmtId="164" fontId="19" fillId="0" borderId="6" xfId="0" quotePrefix="1" applyNumberFormat="1" applyFont="1" applyFill="1" applyBorder="1" applyAlignment="1">
      <alignment horizontal="right" vertical="top"/>
    </xf>
    <xf numFmtId="0" fontId="16" fillId="0" borderId="1" xfId="0" applyFont="1" applyBorder="1"/>
    <xf numFmtId="0" fontId="20" fillId="0" borderId="1" xfId="4" applyFont="1" applyFill="1" applyBorder="1" applyAlignment="1">
      <alignment horizontal="left" vertical="top" wrapText="1"/>
    </xf>
    <xf numFmtId="0" fontId="20" fillId="0" borderId="1" xfId="1" applyFont="1" applyFill="1" applyBorder="1" applyAlignment="1">
      <alignment horizontal="left" vertical="top" wrapText="1"/>
    </xf>
    <xf numFmtId="164" fontId="20" fillId="0" borderId="1" xfId="1" applyNumberFormat="1" applyFont="1" applyBorder="1" applyAlignment="1">
      <alignment horizontal="center" vertical="top" wrapText="1"/>
    </xf>
    <xf numFmtId="164" fontId="20" fillId="0" borderId="1" xfId="4" applyNumberFormat="1" applyFont="1" applyBorder="1" applyAlignment="1">
      <alignment horizontal="right" vertical="top"/>
    </xf>
    <xf numFmtId="1" fontId="20" fillId="4" borderId="1" xfId="1" applyNumberFormat="1" applyFont="1" applyFill="1" applyBorder="1" applyAlignment="1">
      <alignment horizontal="right" vertical="top" wrapText="1"/>
    </xf>
    <xf numFmtId="164" fontId="16" fillId="4" borderId="1" xfId="0" applyNumberFormat="1" applyFont="1" applyFill="1" applyBorder="1" applyAlignment="1">
      <alignment horizontal="right" vertical="top"/>
    </xf>
    <xf numFmtId="164" fontId="20" fillId="0" borderId="1" xfId="1" applyNumberFormat="1" applyFont="1" applyFill="1" applyBorder="1" applyAlignment="1">
      <alignment horizontal="center" vertical="top" wrapText="1"/>
    </xf>
    <xf numFmtId="164" fontId="20" fillId="4" borderId="1" xfId="7" applyNumberFormat="1" applyFont="1" applyFill="1" applyBorder="1" applyAlignment="1">
      <alignment horizontal="right" vertical="top" wrapText="1"/>
    </xf>
    <xf numFmtId="164" fontId="22" fillId="0" borderId="1" xfId="0" applyNumberFormat="1" applyFont="1" applyBorder="1" applyAlignment="1">
      <alignment horizontal="center" vertical="top" wrapText="1"/>
    </xf>
    <xf numFmtId="164" fontId="22" fillId="0" borderId="1" xfId="0" applyNumberFormat="1" applyFont="1" applyFill="1" applyBorder="1" applyAlignment="1">
      <alignment horizontal="right" vertical="top"/>
    </xf>
    <xf numFmtId="164" fontId="22" fillId="0" borderId="1" xfId="0" applyNumberFormat="1" applyFont="1" applyFill="1" applyBorder="1" applyAlignment="1">
      <alignment horizontal="center" vertical="top" wrapText="1"/>
    </xf>
    <xf numFmtId="164" fontId="16" fillId="0" borderId="1" xfId="0" applyNumberFormat="1" applyFont="1" applyBorder="1" applyAlignment="1">
      <alignment horizontal="center" vertical="top"/>
    </xf>
    <xf numFmtId="164" fontId="16" fillId="0" borderId="1" xfId="0" applyNumberFormat="1" applyFont="1" applyBorder="1" applyAlignment="1">
      <alignment horizontal="right" vertical="top"/>
    </xf>
    <xf numFmtId="0" fontId="6" fillId="0" borderId="0" xfId="0" applyFont="1" applyFill="1" applyAlignment="1">
      <alignment horizontal="center"/>
    </xf>
    <xf numFmtId="0" fontId="6" fillId="0" borderId="0" xfId="0" applyFont="1" applyFill="1" applyAlignment="1">
      <alignment horizontal="center"/>
    </xf>
    <xf numFmtId="2" fontId="16" fillId="8" borderId="6" xfId="7" applyNumberFormat="1" applyFont="1" applyFill="1" applyBorder="1" applyAlignment="1">
      <alignment horizontal="right" vertical="top"/>
    </xf>
    <xf numFmtId="164" fontId="16" fillId="8" borderId="6" xfId="7" applyNumberFormat="1" applyFont="1" applyFill="1" applyBorder="1" applyAlignment="1">
      <alignment horizontal="right" vertical="top"/>
    </xf>
    <xf numFmtId="0" fontId="2" fillId="0" borderId="0" xfId="1" applyFont="1"/>
    <xf numFmtId="0" fontId="34" fillId="0" borderId="0" xfId="1" applyFont="1"/>
    <xf numFmtId="0" fontId="2" fillId="0" borderId="6" xfId="1" applyFont="1" applyBorder="1" applyAlignment="1">
      <alignment horizontal="center" vertical="center"/>
    </xf>
    <xf numFmtId="0" fontId="2" fillId="0" borderId="6" xfId="1" applyFont="1" applyBorder="1" applyAlignment="1">
      <alignment horizontal="center"/>
    </xf>
    <xf numFmtId="0" fontId="2" fillId="0" borderId="5" xfId="1" applyFont="1" applyBorder="1" applyAlignment="1">
      <alignment horizontal="center" vertical="center" wrapText="1"/>
    </xf>
    <xf numFmtId="0" fontId="0" fillId="0" borderId="5"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pplyAlignment="1">
      <alignment horizontal="center" vertical="center" wrapText="1"/>
    </xf>
    <xf numFmtId="164" fontId="19" fillId="8" borderId="3" xfId="7" applyNumberFormat="1" applyFont="1" applyFill="1" applyBorder="1" applyAlignment="1">
      <alignment horizontal="right" vertical="top"/>
    </xf>
    <xf numFmtId="0" fontId="16" fillId="0" borderId="9" xfId="0" applyFont="1" applyBorder="1" applyAlignment="1">
      <alignment horizontal="center" vertical="center" wrapText="1"/>
    </xf>
    <xf numFmtId="0" fontId="16" fillId="0" borderId="9" xfId="0" quotePrefix="1" applyFont="1" applyBorder="1" applyAlignment="1">
      <alignment horizontal="center" vertical="center" wrapText="1"/>
    </xf>
    <xf numFmtId="0" fontId="16" fillId="4" borderId="9" xfId="0" applyFont="1" applyFill="1" applyBorder="1" applyAlignment="1">
      <alignment horizontal="center" vertical="center" wrapText="1"/>
    </xf>
    <xf numFmtId="0" fontId="16" fillId="8" borderId="9" xfId="0" applyFont="1" applyFill="1" applyBorder="1"/>
    <xf numFmtId="0" fontId="16" fillId="9" borderId="9" xfId="0" applyFont="1" applyFill="1" applyBorder="1" applyAlignment="1">
      <alignment horizontal="center" vertical="center" wrapText="1"/>
    </xf>
    <xf numFmtId="0" fontId="16" fillId="4" borderId="9" xfId="0" applyFont="1" applyFill="1" applyBorder="1"/>
    <xf numFmtId="0" fontId="16" fillId="0" borderId="9" xfId="0" applyFont="1" applyFill="1" applyBorder="1" applyAlignment="1">
      <alignment horizontal="center" vertical="center" wrapText="1"/>
    </xf>
    <xf numFmtId="0" fontId="16" fillId="0" borderId="9" xfId="0" quotePrefix="1" applyFont="1" applyBorder="1"/>
    <xf numFmtId="0" fontId="16" fillId="0" borderId="9" xfId="0" applyFont="1" applyBorder="1"/>
    <xf numFmtId="0" fontId="16" fillId="0" borderId="9" xfId="0" quotePrefix="1" applyFont="1" applyBorder="1" applyAlignment="1">
      <alignment horizontal="center" vertical="center"/>
    </xf>
    <xf numFmtId="0" fontId="16" fillId="0" borderId="9" xfId="0" quotePrefix="1" applyFont="1" applyFill="1" applyBorder="1" applyAlignment="1">
      <alignment horizontal="center" vertical="center" wrapText="1"/>
    </xf>
    <xf numFmtId="0" fontId="16" fillId="0" borderId="9" xfId="0" applyFont="1" applyFill="1" applyBorder="1"/>
    <xf numFmtId="0" fontId="9" fillId="0" borderId="6" xfId="0" applyFont="1" applyBorder="1"/>
    <xf numFmtId="0" fontId="9" fillId="4" borderId="6" xfId="0" applyFont="1" applyFill="1" applyBorder="1"/>
    <xf numFmtId="0" fontId="9" fillId="0" borderId="6" xfId="0" applyFont="1" applyFill="1" applyBorder="1"/>
    <xf numFmtId="0" fontId="9" fillId="8" borderId="6" xfId="0" applyFont="1" applyFill="1" applyBorder="1"/>
    <xf numFmtId="0" fontId="9" fillId="0" borderId="6" xfId="0" applyFont="1" applyBorder="1" applyAlignment="1">
      <alignment wrapText="1"/>
    </xf>
    <xf numFmtId="164" fontId="9" fillId="0" borderId="6" xfId="0" applyNumberFormat="1" applyFont="1" applyFill="1" applyBorder="1"/>
    <xf numFmtId="0" fontId="9" fillId="0" borderId="6" xfId="0" applyFont="1" applyFill="1" applyBorder="1" applyAlignment="1">
      <alignment wrapText="1"/>
    </xf>
    <xf numFmtId="0" fontId="9" fillId="8" borderId="6" xfId="0" applyFont="1" applyFill="1" applyBorder="1" applyAlignment="1">
      <alignment vertical="top"/>
    </xf>
    <xf numFmtId="0" fontId="6" fillId="0" borderId="0" xfId="0" applyFont="1" applyFill="1" applyAlignment="1">
      <alignment horizontal="center"/>
    </xf>
    <xf numFmtId="0" fontId="9" fillId="0" borderId="6" xfId="0" applyFont="1" applyFill="1" applyBorder="1" applyAlignment="1">
      <alignment vertical="top" wrapText="1"/>
    </xf>
    <xf numFmtId="0" fontId="9" fillId="0" borderId="6" xfId="0" applyFont="1" applyBorder="1" applyAlignment="1">
      <alignment vertical="top" wrapText="1"/>
    </xf>
    <xf numFmtId="164" fontId="20" fillId="4" borderId="6" xfId="16" applyFont="1" applyFill="1" applyBorder="1" applyAlignment="1">
      <alignment horizontal="right" vertical="top" wrapText="1"/>
    </xf>
    <xf numFmtId="164" fontId="16" fillId="9" borderId="6" xfId="1" quotePrefix="1" applyNumberFormat="1" applyFont="1" applyFill="1" applyBorder="1" applyAlignment="1">
      <alignment horizontal="center" vertical="top" wrapText="1"/>
    </xf>
    <xf numFmtId="164" fontId="16" fillId="0" borderId="6" xfId="12" applyNumberFormat="1" applyFont="1" applyFill="1" applyBorder="1" applyAlignment="1">
      <alignment horizontal="right" vertical="top"/>
    </xf>
    <xf numFmtId="0" fontId="20" fillId="15" borderId="6" xfId="1" applyFont="1" applyFill="1" applyBorder="1" applyAlignment="1">
      <alignment horizontal="left" vertical="top" wrapText="1"/>
    </xf>
    <xf numFmtId="3" fontId="37" fillId="0" borderId="6" xfId="17" applyNumberFormat="1" applyFont="1" applyFill="1" applyBorder="1" applyAlignment="1">
      <alignment horizontal="right" vertical="top" wrapText="1"/>
    </xf>
    <xf numFmtId="0" fontId="22" fillId="4" borderId="6" xfId="18" applyNumberFormat="1" applyFont="1" applyFill="1" applyBorder="1" applyAlignment="1">
      <alignment horizontal="center" vertical="center" wrapText="1"/>
    </xf>
    <xf numFmtId="3" fontId="38" fillId="0" borderId="6" xfId="17" applyNumberFormat="1" applyFont="1" applyFill="1" applyBorder="1" applyAlignment="1">
      <alignment horizontal="right" vertical="top" wrapText="1"/>
    </xf>
    <xf numFmtId="0" fontId="20" fillId="0" borderId="6" xfId="1" applyNumberFormat="1" applyFont="1" applyFill="1" applyBorder="1" applyAlignment="1">
      <alignment horizontal="center" vertical="top" wrapText="1"/>
    </xf>
    <xf numFmtId="2" fontId="16" fillId="0" borderId="6" xfId="0" applyNumberFormat="1" applyFont="1" applyFill="1" applyBorder="1" applyAlignment="1">
      <alignment horizontal="center" vertical="top" wrapText="1"/>
    </xf>
    <xf numFmtId="0" fontId="16" fillId="0" borderId="6" xfId="14" applyFont="1" applyFill="1" applyBorder="1" applyAlignment="1">
      <alignment horizontal="justify" vertical="top" wrapText="1"/>
    </xf>
    <xf numFmtId="164" fontId="39" fillId="0" borderId="6" xfId="1" applyNumberFormat="1" applyFont="1" applyFill="1" applyBorder="1" applyAlignment="1">
      <alignment horizontal="center" vertical="top" wrapText="1"/>
    </xf>
    <xf numFmtId="164" fontId="40" fillId="0" borderId="6" xfId="7" applyNumberFormat="1" applyFont="1" applyBorder="1" applyAlignment="1">
      <alignment horizontal="right" vertical="top"/>
    </xf>
    <xf numFmtId="164" fontId="20" fillId="4" borderId="6" xfId="1" applyNumberFormat="1" applyFont="1" applyFill="1" applyBorder="1" applyAlignment="1">
      <alignment horizontal="center" vertical="top"/>
    </xf>
    <xf numFmtId="0" fontId="10" fillId="10" borderId="6" xfId="0" applyFont="1" applyFill="1" applyBorder="1" applyAlignment="1">
      <alignment horizontal="center" vertical="center" wrapText="1"/>
    </xf>
    <xf numFmtId="0" fontId="20" fillId="0" borderId="5" xfId="4" applyFont="1" applyFill="1" applyBorder="1" applyAlignment="1">
      <alignment horizontal="left" vertical="top" wrapText="1"/>
    </xf>
    <xf numFmtId="0" fontId="20" fillId="0" borderId="5" xfId="1" applyFont="1" applyFill="1" applyBorder="1" applyAlignment="1">
      <alignment horizontal="left" vertical="top" wrapText="1"/>
    </xf>
    <xf numFmtId="0" fontId="20" fillId="0" borderId="6" xfId="19" applyFont="1" applyFill="1" applyBorder="1" applyAlignment="1">
      <alignment horizontal="left" vertical="top" wrapText="1"/>
    </xf>
    <xf numFmtId="0" fontId="10" fillId="10" borderId="6" xfId="0" applyFont="1" applyFill="1" applyBorder="1" applyAlignment="1">
      <alignment horizontal="center" vertical="center"/>
    </xf>
    <xf numFmtId="1" fontId="10" fillId="10" borderId="6" xfId="0" applyNumberFormat="1" applyFont="1" applyFill="1" applyBorder="1" applyAlignment="1">
      <alignment horizontal="right" vertical="top"/>
    </xf>
    <xf numFmtId="164" fontId="10" fillId="10" borderId="6" xfId="0" applyNumberFormat="1" applyFont="1" applyFill="1" applyBorder="1" applyAlignment="1">
      <alignment horizontal="center" vertical="center"/>
    </xf>
    <xf numFmtId="0" fontId="30" fillId="10" borderId="6" xfId="0" applyFont="1" applyFill="1" applyBorder="1" applyAlignment="1">
      <alignment horizontal="center" vertical="center" wrapText="1"/>
    </xf>
    <xf numFmtId="0" fontId="30" fillId="10" borderId="6" xfId="0" applyFont="1" applyFill="1" applyBorder="1" applyAlignment="1">
      <alignment horizontal="center" vertical="center"/>
    </xf>
    <xf numFmtId="9" fontId="10" fillId="10" borderId="6" xfId="0" applyNumberFormat="1" applyFont="1" applyFill="1" applyBorder="1" applyAlignment="1">
      <alignment horizontal="center" vertical="center"/>
    </xf>
    <xf numFmtId="164" fontId="10" fillId="10" borderId="6" xfId="0" applyNumberFormat="1" applyFont="1" applyFill="1" applyBorder="1" applyAlignment="1">
      <alignment horizontal="center" vertical="top"/>
    </xf>
    <xf numFmtId="0" fontId="21" fillId="0" borderId="6" xfId="0" applyFont="1" applyFill="1" applyBorder="1" applyAlignment="1">
      <alignment horizontal="justify" vertical="top" wrapText="1"/>
    </xf>
    <xf numFmtId="164" fontId="20" fillId="0" borderId="6" xfId="1" applyNumberFormat="1" applyFont="1" applyFill="1" applyBorder="1" applyAlignment="1">
      <alignment vertical="top" wrapText="1"/>
    </xf>
    <xf numFmtId="0" fontId="20" fillId="0" borderId="6" xfId="4" quotePrefix="1" applyFont="1" applyFill="1" applyBorder="1" applyAlignment="1">
      <alignment horizontal="left" vertical="center" wrapText="1"/>
    </xf>
    <xf numFmtId="0" fontId="6" fillId="0" borderId="0" xfId="0" applyFont="1" applyFill="1" applyAlignment="1">
      <alignment horizontal="center"/>
    </xf>
    <xf numFmtId="0" fontId="10" fillId="10" borderId="6" xfId="0" applyFont="1" applyFill="1" applyBorder="1" applyAlignment="1">
      <alignment horizontal="center" vertical="center" wrapText="1"/>
    </xf>
    <xf numFmtId="0" fontId="10" fillId="10" borderId="6" xfId="0" applyFont="1" applyFill="1" applyBorder="1" applyAlignment="1">
      <alignment horizontal="center" vertical="center"/>
    </xf>
    <xf numFmtId="0" fontId="33" fillId="10" borderId="6" xfId="0" applyFont="1" applyFill="1" applyBorder="1" applyAlignment="1">
      <alignment horizontal="center" vertical="center" wrapText="1"/>
    </xf>
    <xf numFmtId="0" fontId="33" fillId="10" borderId="6" xfId="0" applyFont="1" applyFill="1" applyBorder="1" applyAlignment="1">
      <alignment horizontal="center" vertical="center"/>
    </xf>
    <xf numFmtId="164" fontId="22" fillId="9" borderId="6" xfId="0" applyNumberFormat="1" applyFont="1" applyFill="1" applyBorder="1" applyAlignment="1">
      <alignment horizontal="center" vertical="top" wrapText="1"/>
    </xf>
    <xf numFmtId="164" fontId="22" fillId="9" borderId="6" xfId="7" quotePrefix="1" applyNumberFormat="1" applyFont="1" applyFill="1" applyBorder="1" applyAlignment="1">
      <alignment horizontal="center" vertical="top" wrapText="1"/>
    </xf>
    <xf numFmtId="164" fontId="22" fillId="9" borderId="6" xfId="1" applyNumberFormat="1" applyFont="1" applyFill="1" applyBorder="1" applyAlignment="1">
      <alignment horizontal="center" vertical="top" wrapText="1"/>
    </xf>
    <xf numFmtId="164" fontId="22" fillId="9" borderId="6" xfId="7" applyNumberFormat="1" applyFont="1" applyFill="1" applyBorder="1" applyAlignment="1">
      <alignment horizontal="center" vertical="top" wrapText="1"/>
    </xf>
    <xf numFmtId="164" fontId="41" fillId="0" borderId="6" xfId="1" applyNumberFormat="1" applyFont="1" applyFill="1" applyBorder="1" applyAlignment="1">
      <alignment horizontal="center" vertical="top" wrapText="1"/>
    </xf>
    <xf numFmtId="164" fontId="16" fillId="0" borderId="6" xfId="1" quotePrefix="1" applyNumberFormat="1" applyFont="1" applyFill="1" applyBorder="1" applyAlignment="1">
      <alignment horizontal="center" vertical="top" wrapText="1"/>
    </xf>
    <xf numFmtId="0" fontId="22" fillId="16" borderId="6" xfId="4" applyFont="1" applyFill="1" applyBorder="1" applyAlignment="1">
      <alignment horizontal="left" vertical="top" wrapText="1"/>
    </xf>
    <xf numFmtId="0" fontId="9" fillId="10" borderId="1" xfId="0" applyFont="1" applyFill="1" applyBorder="1" applyAlignment="1">
      <alignment horizontal="center" vertical="center"/>
    </xf>
    <xf numFmtId="0" fontId="9" fillId="10" borderId="3" xfId="0" applyFont="1" applyFill="1" applyBorder="1" applyAlignment="1">
      <alignment horizontal="center" vertical="center"/>
    </xf>
    <xf numFmtId="0" fontId="9" fillId="10" borderId="5" xfId="0" applyFont="1" applyFill="1" applyBorder="1" applyAlignment="1">
      <alignment horizontal="center" vertical="center"/>
    </xf>
    <xf numFmtId="0" fontId="13" fillId="0" borderId="0" xfId="0" applyFont="1" applyFill="1" applyAlignment="1">
      <alignment horizontal="center"/>
    </xf>
    <xf numFmtId="0" fontId="6" fillId="0" borderId="0" xfId="0" applyFont="1" applyFill="1" applyAlignment="1">
      <alignment horizontal="center"/>
    </xf>
    <xf numFmtId="0" fontId="14" fillId="0" borderId="0" xfId="0" applyFont="1" applyFill="1" applyAlignment="1">
      <alignment horizontal="center"/>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5" fillId="0" borderId="0" xfId="0" applyFont="1" applyFill="1" applyAlignment="1">
      <alignment horizontal="center"/>
    </xf>
    <xf numFmtId="0" fontId="18" fillId="0" borderId="6" xfId="0" applyFont="1" applyBorder="1" applyAlignment="1">
      <alignment horizontal="left" vertical="center"/>
    </xf>
    <xf numFmtId="0" fontId="18" fillId="0" borderId="9" xfId="0" applyFont="1" applyBorder="1" applyAlignment="1">
      <alignment horizontal="left" vertical="center"/>
    </xf>
    <xf numFmtId="168" fontId="13" fillId="0" borderId="0" xfId="0" applyNumberFormat="1" applyFont="1" applyFill="1" applyAlignment="1">
      <alignment horizontal="center"/>
    </xf>
    <xf numFmtId="0" fontId="18" fillId="0" borderId="6" xfId="0" applyFont="1" applyBorder="1" applyAlignment="1">
      <alignment horizontal="right" vertical="center"/>
    </xf>
    <xf numFmtId="0" fontId="10" fillId="10" borderId="6"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6" xfId="0" applyFont="1" applyFill="1" applyBorder="1" applyAlignment="1">
      <alignment horizontal="center" vertical="center"/>
    </xf>
    <xf numFmtId="0" fontId="19" fillId="8" borderId="1" xfId="4" applyFont="1" applyFill="1" applyBorder="1" applyAlignment="1">
      <alignment horizontal="left" vertical="center" wrapText="1"/>
    </xf>
    <xf numFmtId="0" fontId="19" fillId="8" borderId="3" xfId="4" applyFont="1" applyFill="1" applyBorder="1" applyAlignment="1">
      <alignment horizontal="left" vertical="center" wrapText="1"/>
    </xf>
    <xf numFmtId="0" fontId="19" fillId="8" borderId="5" xfId="4" applyFont="1" applyFill="1" applyBorder="1" applyAlignment="1">
      <alignment horizontal="left" vertical="center" wrapText="1"/>
    </xf>
    <xf numFmtId="0" fontId="18" fillId="0" borderId="1" xfId="0" applyFont="1" applyBorder="1" applyAlignment="1">
      <alignment horizontal="righ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30" fillId="10" borderId="9"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33" fillId="10" borderId="9" xfId="0" applyFont="1" applyFill="1" applyBorder="1" applyAlignment="1">
      <alignment horizontal="center" vertical="center" wrapText="1"/>
    </xf>
    <xf numFmtId="0" fontId="33" fillId="10" borderId="8" xfId="0" applyFont="1" applyFill="1" applyBorder="1" applyAlignment="1">
      <alignment horizontal="center" vertical="center" wrapText="1"/>
    </xf>
    <xf numFmtId="0" fontId="1" fillId="0" borderId="0" xfId="1" applyFont="1" applyAlignment="1">
      <alignment horizontal="left"/>
    </xf>
    <xf numFmtId="0" fontId="4" fillId="0" borderId="0" xfId="1" applyAlignment="1">
      <alignment horizontal="left"/>
    </xf>
    <xf numFmtId="0" fontId="12" fillId="0" borderId="0" xfId="0" applyFont="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10" borderId="6"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6" fillId="0" borderId="0" xfId="1" applyFont="1" applyAlignment="1">
      <alignment horizontal="center"/>
    </xf>
    <xf numFmtId="0" fontId="2" fillId="0" borderId="6" xfId="1" applyFont="1" applyBorder="1" applyAlignment="1">
      <alignment horizontal="center" vertical="center"/>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1"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2" xfId="1" applyFont="1" applyBorder="1" applyAlignment="1">
      <alignment horizontal="center" vertical="center"/>
    </xf>
  </cellXfs>
  <cellStyles count="20">
    <cellStyle name="Comma" xfId="15" builtinId="3"/>
    <cellStyle name="Comma [0]" xfId="16" builtinId="6"/>
    <cellStyle name="Comma [0] 2" xfId="6" xr:uid="{00000000-0005-0000-0000-000002000000}"/>
    <cellStyle name="Comma [0] 2 10" xfId="17" xr:uid="{00000000-0005-0000-0000-000003000000}"/>
    <cellStyle name="Comma [0] 3" xfId="9" xr:uid="{00000000-0005-0000-0000-000004000000}"/>
    <cellStyle name="Comma [0] 4" xfId="10" xr:uid="{00000000-0005-0000-0000-000005000000}"/>
    <cellStyle name="Comma 2" xfId="3" xr:uid="{00000000-0005-0000-0000-000006000000}"/>
    <cellStyle name="Comma 2 2" xfId="5" xr:uid="{00000000-0005-0000-0000-000007000000}"/>
    <cellStyle name="Comma 3" xfId="7" xr:uid="{00000000-0005-0000-0000-000008000000}"/>
    <cellStyle name="Normal" xfId="0" builtinId="0"/>
    <cellStyle name="Normal 2" xfId="2" xr:uid="{00000000-0005-0000-0000-00000A000000}"/>
    <cellStyle name="Normal 2 2" xfId="4" xr:uid="{00000000-0005-0000-0000-00000B000000}"/>
    <cellStyle name="Normal 2 3" xfId="13" xr:uid="{00000000-0005-0000-0000-00000C000000}"/>
    <cellStyle name="Normal 3" xfId="1" xr:uid="{00000000-0005-0000-0000-00000D000000}"/>
    <cellStyle name="Normal 3 2" xfId="8" xr:uid="{00000000-0005-0000-0000-00000E000000}"/>
    <cellStyle name="Normal 3 2 2" xfId="19" xr:uid="{00000000-0005-0000-0000-00000F000000}"/>
    <cellStyle name="Normal 30" xfId="14" xr:uid="{00000000-0005-0000-0000-000010000000}"/>
    <cellStyle name="Normal 4" xfId="12" xr:uid="{00000000-0005-0000-0000-000011000000}"/>
    <cellStyle name="Percent" xfId="11" builtinId="5"/>
    <cellStyle name="Percent 2 2" xfId="18" xr:uid="{00000000-0005-0000-0000-000013000000}"/>
  </cellStyles>
  <dxfs count="0"/>
  <tableStyles count="0" defaultTableStyle="TableStyleMedium9" defaultPivotStyle="PivotStyleLight16"/>
  <colors>
    <mruColors>
      <color rgb="FF95B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07"/>
  <sheetViews>
    <sheetView tabSelected="1" zoomScale="80" zoomScaleNormal="80" workbookViewId="0">
      <pane ySplit="13" topLeftCell="A48" activePane="bottomLeft" state="frozen"/>
      <selection activeCell="B1" sqref="B1"/>
      <selection pane="bottomLeft" activeCell="N48" sqref="N48"/>
    </sheetView>
  </sheetViews>
  <sheetFormatPr defaultRowHeight="9" x14ac:dyDescent="0.15"/>
  <cols>
    <col min="1" max="1" width="3.5703125" style="2" customWidth="1"/>
    <col min="2" max="2" width="4.7109375" style="2" customWidth="1"/>
    <col min="3" max="3" width="2.7109375" style="2" customWidth="1"/>
    <col min="4" max="5" width="2.42578125" style="2" customWidth="1"/>
    <col min="6" max="6" width="3.140625" style="2" customWidth="1"/>
    <col min="7" max="7" width="15.85546875" style="2" customWidth="1"/>
    <col min="8" max="8" width="22.5703125" style="247" customWidth="1"/>
    <col min="9" max="9" width="18.7109375" style="2" customWidth="1"/>
    <col min="10" max="10" width="18.28515625" style="2" customWidth="1"/>
    <col min="11" max="11" width="19.7109375" style="340" customWidth="1"/>
    <col min="12" max="12" width="18.42578125" style="235" customWidth="1"/>
    <col min="13" max="13" width="18.85546875" style="330" customWidth="1"/>
    <col min="14" max="14" width="20.140625" style="252" customWidth="1"/>
    <col min="15" max="15" width="20" style="262" customWidth="1"/>
    <col min="16" max="16" width="16.7109375" style="392" customWidth="1"/>
    <col min="17" max="17" width="15.5703125" style="393" customWidth="1"/>
    <col min="18" max="18" width="15" style="394" customWidth="1"/>
    <col min="19" max="19" width="14.42578125" style="10" customWidth="1"/>
    <col min="20" max="20" width="14.5703125" style="4" customWidth="1"/>
    <col min="21" max="21" width="14" style="4" customWidth="1"/>
    <col min="22" max="22" width="13.7109375" style="4" customWidth="1"/>
    <col min="23" max="23" width="19.5703125" style="234" customWidth="1"/>
    <col min="24" max="24" width="18.5703125" style="242" customWidth="1"/>
    <col min="25" max="25" width="8.5703125" style="7" customWidth="1"/>
    <col min="26" max="26" width="7.7109375" style="4" customWidth="1"/>
    <col min="27" max="27" width="13.5703125" style="11" customWidth="1"/>
    <col min="28" max="28" width="18" style="4" customWidth="1"/>
    <col min="29" max="29" width="8" style="7" customWidth="1"/>
    <col min="30" max="30" width="7.5703125" style="5" customWidth="1"/>
    <col min="31" max="31" width="9.28515625" style="2" customWidth="1"/>
    <col min="32" max="32" width="9.85546875" style="2" hidden="1" customWidth="1"/>
    <col min="33" max="33" width="0" style="2" hidden="1" customWidth="1"/>
    <col min="34" max="34" width="10.42578125" style="2" customWidth="1"/>
    <col min="35" max="16384" width="9.140625" style="2"/>
  </cols>
  <sheetData>
    <row r="1" spans="1:35" ht="15" x14ac:dyDescent="0.25">
      <c r="B1" s="563" t="s">
        <v>379</v>
      </c>
      <c r="C1" s="564"/>
      <c r="D1" s="564"/>
      <c r="E1" s="564"/>
      <c r="F1" s="564"/>
      <c r="G1" s="564"/>
      <c r="H1" s="163"/>
      <c r="I1" s="163"/>
      <c r="J1" s="163"/>
      <c r="K1" s="341"/>
      <c r="L1" s="9"/>
      <c r="M1" s="8"/>
      <c r="N1" s="12"/>
      <c r="O1" s="273"/>
      <c r="P1" s="395"/>
      <c r="Q1" s="273"/>
      <c r="R1" s="395"/>
      <c r="S1" s="328"/>
    </row>
    <row r="2" spans="1:35" ht="15" x14ac:dyDescent="0.25">
      <c r="B2" s="1"/>
      <c r="C2" s="1"/>
      <c r="D2" s="463"/>
      <c r="H2" s="163"/>
      <c r="I2" s="163"/>
      <c r="J2" s="163"/>
      <c r="K2" s="341"/>
      <c r="L2" s="9"/>
      <c r="M2" s="8"/>
      <c r="N2" s="12"/>
      <c r="O2" s="273"/>
      <c r="P2" s="395"/>
      <c r="Q2" s="273"/>
      <c r="R2" s="395"/>
      <c r="S2" s="328"/>
    </row>
    <row r="3" spans="1:35" ht="15" x14ac:dyDescent="0.25">
      <c r="B3" s="1"/>
      <c r="C3" s="1"/>
      <c r="D3" s="1"/>
      <c r="H3" s="163"/>
      <c r="I3" s="163"/>
      <c r="J3" s="163"/>
      <c r="K3" s="341"/>
      <c r="L3" s="9"/>
      <c r="M3" s="8"/>
      <c r="N3" s="12"/>
      <c r="O3" s="273"/>
      <c r="P3" s="395"/>
      <c r="Q3" s="273"/>
      <c r="R3" s="395"/>
      <c r="S3" s="328"/>
    </row>
    <row r="4" spans="1:35" x14ac:dyDescent="0.15">
      <c r="H4" s="163"/>
      <c r="I4" s="163"/>
      <c r="J4" s="163"/>
      <c r="K4" s="341"/>
      <c r="L4" s="9"/>
      <c r="M4" s="8"/>
      <c r="N4" s="12"/>
      <c r="O4" s="273"/>
      <c r="P4" s="395"/>
      <c r="Q4" s="273"/>
      <c r="R4" s="395"/>
      <c r="S4" s="328"/>
    </row>
    <row r="5" spans="1:35" ht="24.75" customHeight="1" x14ac:dyDescent="0.15">
      <c r="B5" s="565" t="s">
        <v>390</v>
      </c>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H5" s="2" t="s">
        <v>173</v>
      </c>
    </row>
    <row r="6" spans="1:35" ht="23.25" customHeight="1" x14ac:dyDescent="0.15">
      <c r="B6" s="565" t="s">
        <v>301</v>
      </c>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row>
    <row r="7" spans="1:35" ht="23.25" customHeight="1" x14ac:dyDescent="0.15">
      <c r="B7" s="565"/>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row>
    <row r="8" spans="1:35" ht="9" customHeight="1" x14ac:dyDescent="0.15">
      <c r="B8" s="2" t="s">
        <v>173</v>
      </c>
      <c r="H8" s="163"/>
      <c r="K8" s="341"/>
      <c r="L8" s="9"/>
      <c r="M8" s="8"/>
      <c r="N8" s="12"/>
      <c r="O8" s="273"/>
      <c r="P8" s="395"/>
      <c r="Q8" s="273"/>
      <c r="R8" s="395"/>
      <c r="S8" s="328"/>
      <c r="T8" s="12"/>
      <c r="U8" s="12"/>
      <c r="V8" s="12"/>
      <c r="W8" s="8"/>
      <c r="X8" s="12"/>
    </row>
    <row r="9" spans="1:35" ht="15.75" customHeight="1" x14ac:dyDescent="0.15">
      <c r="A9" s="566" t="s">
        <v>141</v>
      </c>
      <c r="B9" s="547" t="s">
        <v>140</v>
      </c>
      <c r="C9" s="547"/>
      <c r="D9" s="547"/>
      <c r="E9" s="547"/>
      <c r="F9" s="547"/>
      <c r="G9" s="547" t="s">
        <v>164</v>
      </c>
      <c r="H9" s="547" t="s">
        <v>142</v>
      </c>
      <c r="I9" s="569" t="s">
        <v>174</v>
      </c>
      <c r="J9" s="569"/>
      <c r="K9" s="569" t="s">
        <v>391</v>
      </c>
      <c r="L9" s="569"/>
      <c r="M9" s="569" t="s">
        <v>392</v>
      </c>
      <c r="N9" s="569"/>
      <c r="O9" s="570" t="s">
        <v>165</v>
      </c>
      <c r="P9" s="571"/>
      <c r="Q9" s="571"/>
      <c r="R9" s="571"/>
      <c r="S9" s="571"/>
      <c r="T9" s="571"/>
      <c r="U9" s="571"/>
      <c r="V9" s="572"/>
      <c r="W9" s="547" t="s">
        <v>393</v>
      </c>
      <c r="X9" s="547"/>
      <c r="Y9" s="547" t="s">
        <v>394</v>
      </c>
      <c r="Z9" s="547"/>
      <c r="AA9" s="570" t="s">
        <v>395</v>
      </c>
      <c r="AB9" s="572"/>
      <c r="AC9" s="547" t="s">
        <v>396</v>
      </c>
      <c r="AD9" s="547"/>
      <c r="AE9" s="547" t="s">
        <v>168</v>
      </c>
      <c r="AF9" s="559" t="s">
        <v>101</v>
      </c>
      <c r="AG9" s="560" t="s">
        <v>169</v>
      </c>
      <c r="AH9" s="534" t="s">
        <v>380</v>
      </c>
      <c r="AI9" s="534" t="s">
        <v>381</v>
      </c>
    </row>
    <row r="10" spans="1:35" ht="15" customHeight="1" x14ac:dyDescent="0.15">
      <c r="A10" s="567"/>
      <c r="B10" s="547"/>
      <c r="C10" s="547"/>
      <c r="D10" s="547"/>
      <c r="E10" s="547"/>
      <c r="F10" s="547"/>
      <c r="G10" s="547"/>
      <c r="H10" s="547"/>
      <c r="I10" s="569"/>
      <c r="J10" s="569"/>
      <c r="K10" s="569"/>
      <c r="L10" s="569"/>
      <c r="M10" s="569"/>
      <c r="N10" s="569"/>
      <c r="O10" s="573"/>
      <c r="P10" s="574"/>
      <c r="Q10" s="574"/>
      <c r="R10" s="574"/>
      <c r="S10" s="574"/>
      <c r="T10" s="574"/>
      <c r="U10" s="574"/>
      <c r="V10" s="575"/>
      <c r="W10" s="547"/>
      <c r="X10" s="547"/>
      <c r="Y10" s="547"/>
      <c r="Z10" s="547"/>
      <c r="AA10" s="576"/>
      <c r="AB10" s="577"/>
      <c r="AC10" s="547"/>
      <c r="AD10" s="547"/>
      <c r="AE10" s="547"/>
      <c r="AF10" s="559"/>
      <c r="AG10" s="560"/>
      <c r="AH10" s="535"/>
      <c r="AI10" s="535"/>
    </row>
    <row r="11" spans="1:35" ht="45.75" customHeight="1" x14ac:dyDescent="0.15">
      <c r="A11" s="568"/>
      <c r="B11" s="547"/>
      <c r="C11" s="547"/>
      <c r="D11" s="547"/>
      <c r="E11" s="547"/>
      <c r="F11" s="547"/>
      <c r="G11" s="547"/>
      <c r="H11" s="547"/>
      <c r="I11" s="569"/>
      <c r="J11" s="569"/>
      <c r="K11" s="569"/>
      <c r="L11" s="569"/>
      <c r="M11" s="569"/>
      <c r="N11" s="569"/>
      <c r="O11" s="561" t="s">
        <v>0</v>
      </c>
      <c r="P11" s="562"/>
      <c r="Q11" s="561" t="s">
        <v>2</v>
      </c>
      <c r="R11" s="562"/>
      <c r="S11" s="548" t="s">
        <v>166</v>
      </c>
      <c r="T11" s="549"/>
      <c r="U11" s="548" t="s">
        <v>167</v>
      </c>
      <c r="V11" s="549"/>
      <c r="W11" s="547"/>
      <c r="X11" s="547"/>
      <c r="Y11" s="547"/>
      <c r="Z11" s="547"/>
      <c r="AA11" s="573"/>
      <c r="AB11" s="575"/>
      <c r="AC11" s="547"/>
      <c r="AD11" s="547"/>
      <c r="AE11" s="547"/>
      <c r="AF11" s="559"/>
      <c r="AG11" s="560"/>
      <c r="AH11" s="536"/>
      <c r="AI11" s="536"/>
    </row>
    <row r="12" spans="1:35" ht="23.25" hidden="1" customHeight="1" x14ac:dyDescent="0.15">
      <c r="A12" s="534">
        <v>1</v>
      </c>
      <c r="B12" s="550">
        <v>2</v>
      </c>
      <c r="C12" s="550"/>
      <c r="D12" s="550"/>
      <c r="E12" s="550"/>
      <c r="F12" s="550"/>
      <c r="G12" s="550">
        <v>3</v>
      </c>
      <c r="H12" s="550">
        <v>4</v>
      </c>
      <c r="I12" s="547">
        <v>5</v>
      </c>
      <c r="J12" s="547"/>
      <c r="K12" s="547">
        <v>6</v>
      </c>
      <c r="L12" s="547"/>
      <c r="M12" s="547">
        <v>7</v>
      </c>
      <c r="N12" s="547"/>
      <c r="O12" s="557">
        <v>8</v>
      </c>
      <c r="P12" s="558"/>
      <c r="Q12" s="557">
        <v>9</v>
      </c>
      <c r="R12" s="558"/>
      <c r="S12" s="548">
        <v>10</v>
      </c>
      <c r="T12" s="549"/>
      <c r="U12" s="548">
        <v>11</v>
      </c>
      <c r="V12" s="549"/>
      <c r="W12" s="547" t="s">
        <v>175</v>
      </c>
      <c r="X12" s="547"/>
      <c r="Y12" s="547" t="s">
        <v>176</v>
      </c>
      <c r="Z12" s="547"/>
      <c r="AA12" s="548" t="s">
        <v>177</v>
      </c>
      <c r="AB12" s="549"/>
      <c r="AC12" s="547" t="s">
        <v>178</v>
      </c>
      <c r="AD12" s="547"/>
      <c r="AE12" s="547">
        <v>16</v>
      </c>
      <c r="AF12" s="540">
        <v>17</v>
      </c>
      <c r="AG12" s="541">
        <v>18</v>
      </c>
      <c r="AH12" s="484"/>
      <c r="AI12" s="484"/>
    </row>
    <row r="13" spans="1:35" ht="15.75" customHeight="1" x14ac:dyDescent="0.15">
      <c r="A13" s="536"/>
      <c r="B13" s="550"/>
      <c r="C13" s="550"/>
      <c r="D13" s="550"/>
      <c r="E13" s="550"/>
      <c r="F13" s="550"/>
      <c r="G13" s="550"/>
      <c r="H13" s="550"/>
      <c r="I13" s="512" t="s">
        <v>1</v>
      </c>
      <c r="J13" s="512" t="s">
        <v>102</v>
      </c>
      <c r="K13" s="513" t="s">
        <v>1</v>
      </c>
      <c r="L13" s="512" t="s">
        <v>103</v>
      </c>
      <c r="M13" s="512" t="s">
        <v>1</v>
      </c>
      <c r="N13" s="514" t="s">
        <v>102</v>
      </c>
      <c r="O13" s="525" t="s">
        <v>1</v>
      </c>
      <c r="P13" s="526" t="s">
        <v>102</v>
      </c>
      <c r="Q13" s="525" t="s">
        <v>1</v>
      </c>
      <c r="R13" s="526" t="s">
        <v>102</v>
      </c>
      <c r="S13" s="512" t="s">
        <v>1</v>
      </c>
      <c r="T13" s="514" t="s">
        <v>102</v>
      </c>
      <c r="U13" s="512" t="s">
        <v>1</v>
      </c>
      <c r="V13" s="514" t="s">
        <v>102</v>
      </c>
      <c r="W13" s="512" t="s">
        <v>1</v>
      </c>
      <c r="X13" s="514" t="s">
        <v>102</v>
      </c>
      <c r="Y13" s="517" t="s">
        <v>1</v>
      </c>
      <c r="Z13" s="514" t="s">
        <v>102</v>
      </c>
      <c r="AA13" s="508" t="s">
        <v>1</v>
      </c>
      <c r="AB13" s="514" t="s">
        <v>102</v>
      </c>
      <c r="AC13" s="517" t="s">
        <v>1</v>
      </c>
      <c r="AD13" s="518" t="s">
        <v>102</v>
      </c>
      <c r="AE13" s="547"/>
      <c r="AF13" s="540"/>
      <c r="AG13" s="541"/>
      <c r="AH13" s="484"/>
      <c r="AI13" s="484"/>
    </row>
    <row r="14" spans="1:35" s="3" customFormat="1" ht="40.5" x14ac:dyDescent="0.25">
      <c r="A14" s="13"/>
      <c r="B14" s="14" t="s">
        <v>139</v>
      </c>
      <c r="C14" s="14" t="s">
        <v>73</v>
      </c>
      <c r="D14" s="14" t="s">
        <v>74</v>
      </c>
      <c r="E14" s="14" t="s">
        <v>74</v>
      </c>
      <c r="F14" s="15" t="s">
        <v>173</v>
      </c>
      <c r="G14" s="161" t="s">
        <v>3</v>
      </c>
      <c r="H14" s="16" t="s">
        <v>264</v>
      </c>
      <c r="I14" s="17">
        <v>60</v>
      </c>
      <c r="J14" s="156">
        <f>SUM(J15:J28)</f>
        <v>13478434982</v>
      </c>
      <c r="K14" s="337">
        <f>36+12</f>
        <v>48</v>
      </c>
      <c r="L14" s="18">
        <f>SUM(L15:L28)</f>
        <v>9673928235</v>
      </c>
      <c r="M14" s="17">
        <v>12</v>
      </c>
      <c r="N14" s="19">
        <f>SUM(N15:N28)</f>
        <v>2525913744</v>
      </c>
      <c r="O14" s="53">
        <v>3</v>
      </c>
      <c r="P14" s="54">
        <f>SUM(P15:P28)</f>
        <v>108472566</v>
      </c>
      <c r="Q14" s="53">
        <v>3</v>
      </c>
      <c r="R14" s="54">
        <f>SUM(R15:R28)</f>
        <v>980201664</v>
      </c>
      <c r="S14" s="21">
        <v>0</v>
      </c>
      <c r="T14" s="18">
        <f>SUM(T15:T28)</f>
        <v>0</v>
      </c>
      <c r="U14" s="22">
        <v>0</v>
      </c>
      <c r="V14" s="54">
        <f>SUM(V15:V28)</f>
        <v>0</v>
      </c>
      <c r="W14" s="20">
        <f t="shared" ref="W14:W54" si="0">O14+Q14+S14+U14</f>
        <v>6</v>
      </c>
      <c r="X14" s="22">
        <f>P14+R14+T14+V14</f>
        <v>1088674230</v>
      </c>
      <c r="Y14" s="23">
        <f>SUM(W14/M14*100)</f>
        <v>50</v>
      </c>
      <c r="Z14" s="24">
        <f>SUM(X14/N14*100)</f>
        <v>43.100214034862148</v>
      </c>
      <c r="AA14" s="53">
        <f>SUM(K14+W14)</f>
        <v>54</v>
      </c>
      <c r="AB14" s="18">
        <f>SUM(L14+X14)</f>
        <v>10762602465</v>
      </c>
      <c r="AC14" s="55">
        <f>SUM(AA14/I14*100)</f>
        <v>90</v>
      </c>
      <c r="AD14" s="24">
        <f>SUM(AB14/J14*100)</f>
        <v>79.850535165047702</v>
      </c>
      <c r="AE14" s="25" t="s">
        <v>281</v>
      </c>
      <c r="AF14" s="25"/>
      <c r="AG14" s="272"/>
      <c r="AH14" s="491"/>
      <c r="AI14" s="491"/>
    </row>
    <row r="15" spans="1:35" ht="60.75" customHeight="1" x14ac:dyDescent="0.25">
      <c r="A15" s="26"/>
      <c r="B15" s="27" t="s">
        <v>139</v>
      </c>
      <c r="C15" s="27" t="s">
        <v>73</v>
      </c>
      <c r="D15" s="27" t="s">
        <v>74</v>
      </c>
      <c r="E15" s="27" t="s">
        <v>74</v>
      </c>
      <c r="F15" s="27" t="s">
        <v>74</v>
      </c>
      <c r="G15" s="28" t="s">
        <v>4</v>
      </c>
      <c r="H15" s="288" t="s">
        <v>112</v>
      </c>
      <c r="I15" s="30">
        <v>11250</v>
      </c>
      <c r="J15" s="31">
        <v>111200000</v>
      </c>
      <c r="K15" s="343">
        <f>5416+3000</f>
        <v>8416</v>
      </c>
      <c r="L15" s="148">
        <f>38967500+17901500</f>
        <v>56869000</v>
      </c>
      <c r="M15" s="33">
        <v>3000</v>
      </c>
      <c r="N15" s="34">
        <v>27000000</v>
      </c>
      <c r="O15" s="181">
        <v>0</v>
      </c>
      <c r="P15" s="421">
        <v>0</v>
      </c>
      <c r="Q15" s="527"/>
      <c r="R15" s="282">
        <v>7849000</v>
      </c>
      <c r="S15" s="245"/>
      <c r="T15" s="148"/>
      <c r="U15" s="148"/>
      <c r="V15" s="148"/>
      <c r="W15" s="153">
        <f>O15+Q15+S15+U15</f>
        <v>0</v>
      </c>
      <c r="X15" s="148">
        <f t="shared" ref="X15:X54" si="1">SUM(P15+R15+T15+V15)</f>
        <v>7849000</v>
      </c>
      <c r="Y15" s="38">
        <f>SUM(W15/M15*100)</f>
        <v>0</v>
      </c>
      <c r="Z15" s="39">
        <f>SUM(X15/N15*100)</f>
        <v>29.07037037037037</v>
      </c>
      <c r="AA15" s="338">
        <f>SUM(K15+W15)</f>
        <v>8416</v>
      </c>
      <c r="AB15" s="36">
        <f t="shared" ref="AB15:AB54" si="2">SUM(L15+X15)</f>
        <v>64718000</v>
      </c>
      <c r="AC15" s="143">
        <f>SUM(AA15/I15*100)</f>
        <v>74.808888888888887</v>
      </c>
      <c r="AD15" s="40">
        <f t="shared" ref="AD15:AD54" si="3">SUM(AB15/J15)*100</f>
        <v>58.199640287769782</v>
      </c>
      <c r="AE15" s="160" t="s">
        <v>281</v>
      </c>
      <c r="AF15" s="41"/>
      <c r="AG15" s="472"/>
      <c r="AH15" s="484"/>
      <c r="AI15" s="484"/>
    </row>
    <row r="16" spans="1:35" ht="55.5" customHeight="1" x14ac:dyDescent="0.25">
      <c r="A16" s="26"/>
      <c r="B16" s="27" t="s">
        <v>139</v>
      </c>
      <c r="C16" s="27" t="s">
        <v>73</v>
      </c>
      <c r="D16" s="27" t="s">
        <v>74</v>
      </c>
      <c r="E16" s="27" t="s">
        <v>74</v>
      </c>
      <c r="F16" s="27" t="s">
        <v>75</v>
      </c>
      <c r="G16" s="158" t="s">
        <v>5</v>
      </c>
      <c r="H16" s="288" t="s">
        <v>113</v>
      </c>
      <c r="I16" s="30">
        <v>60</v>
      </c>
      <c r="J16" s="31">
        <v>2343240000</v>
      </c>
      <c r="K16" s="343">
        <f>36+12</f>
        <v>48</v>
      </c>
      <c r="L16" s="148">
        <v>1532225674</v>
      </c>
      <c r="M16" s="33">
        <v>12</v>
      </c>
      <c r="N16" s="34">
        <v>380000000</v>
      </c>
      <c r="O16" s="181">
        <v>3</v>
      </c>
      <c r="P16" s="421">
        <v>410146</v>
      </c>
      <c r="Q16" s="422">
        <v>3</v>
      </c>
      <c r="R16" s="282">
        <f>168530710-410146</f>
        <v>168120564</v>
      </c>
      <c r="S16" s="245"/>
      <c r="T16" s="246"/>
      <c r="U16" s="154"/>
      <c r="V16" s="246"/>
      <c r="W16" s="153">
        <f t="shared" si="0"/>
        <v>6</v>
      </c>
      <c r="X16" s="148">
        <f>SUM(P16+R16+T16+V16)</f>
        <v>168530710</v>
      </c>
      <c r="Y16" s="38">
        <f t="shared" ref="Y16:Z85" si="4">SUM(W16/M16*100)</f>
        <v>50</v>
      </c>
      <c r="Z16" s="39">
        <f t="shared" ref="Z16:Z25" si="5">SUM(X16/N16*100)</f>
        <v>44.350186842105266</v>
      </c>
      <c r="AA16" s="338">
        <f t="shared" ref="AA16:AA85" si="6">SUM(K16+W16)</f>
        <v>54</v>
      </c>
      <c r="AB16" s="36">
        <f t="shared" si="2"/>
        <v>1700756384</v>
      </c>
      <c r="AC16" s="143">
        <f t="shared" ref="AC16:AC85" si="7">SUM(AA16/I16*100)</f>
        <v>90</v>
      </c>
      <c r="AD16" s="39">
        <f t="shared" si="3"/>
        <v>72.58139942984927</v>
      </c>
      <c r="AE16" s="160" t="s">
        <v>281</v>
      </c>
      <c r="AF16" s="41"/>
      <c r="AG16" s="472"/>
      <c r="AH16" s="484"/>
      <c r="AI16" s="484"/>
    </row>
    <row r="17" spans="1:45" ht="75" customHeight="1" x14ac:dyDescent="0.25">
      <c r="A17" s="26"/>
      <c r="B17" s="27" t="s">
        <v>139</v>
      </c>
      <c r="C17" s="27" t="s">
        <v>73</v>
      </c>
      <c r="D17" s="27" t="s">
        <v>74</v>
      </c>
      <c r="E17" s="27" t="s">
        <v>74</v>
      </c>
      <c r="F17" s="27" t="s">
        <v>76</v>
      </c>
      <c r="G17" s="28" t="s">
        <v>293</v>
      </c>
      <c r="H17" s="28" t="s">
        <v>114</v>
      </c>
      <c r="I17" s="30">
        <v>252</v>
      </c>
      <c r="J17" s="31">
        <v>215920800</v>
      </c>
      <c r="K17" s="344">
        <v>157</v>
      </c>
      <c r="L17" s="148">
        <f>85227700+24997700</f>
        <v>110225400</v>
      </c>
      <c r="M17" s="33" t="s">
        <v>397</v>
      </c>
      <c r="N17" s="34">
        <v>66540000</v>
      </c>
      <c r="O17" s="181">
        <v>0</v>
      </c>
      <c r="P17" s="421">
        <v>19325100</v>
      </c>
      <c r="Q17" s="527"/>
      <c r="R17" s="282">
        <f>28648300-19325100</f>
        <v>9323200</v>
      </c>
      <c r="S17" s="152"/>
      <c r="T17" s="148"/>
      <c r="U17" s="153"/>
      <c r="V17" s="148"/>
      <c r="W17" s="153">
        <f t="shared" si="0"/>
        <v>0</v>
      </c>
      <c r="X17" s="148">
        <f>SUM(P17+R17+T17+V17)</f>
        <v>28648300</v>
      </c>
      <c r="Y17" s="38" t="e">
        <f t="shared" si="4"/>
        <v>#VALUE!</v>
      </c>
      <c r="Z17" s="39">
        <f t="shared" si="5"/>
        <v>43.05425308085362</v>
      </c>
      <c r="AA17" s="338">
        <f t="shared" si="6"/>
        <v>157</v>
      </c>
      <c r="AB17" s="36">
        <f t="shared" si="2"/>
        <v>138873700</v>
      </c>
      <c r="AC17" s="143">
        <f t="shared" si="7"/>
        <v>62.301587301587304</v>
      </c>
      <c r="AD17" s="39">
        <f t="shared" si="3"/>
        <v>64.31696251588545</v>
      </c>
      <c r="AE17" s="160" t="s">
        <v>281</v>
      </c>
      <c r="AF17" s="47"/>
      <c r="AG17" s="473"/>
      <c r="AH17" s="484"/>
      <c r="AI17" s="484"/>
    </row>
    <row r="18" spans="1:45" ht="48.75" customHeight="1" x14ac:dyDescent="0.25">
      <c r="A18" s="26"/>
      <c r="B18" s="27" t="s">
        <v>139</v>
      </c>
      <c r="C18" s="27" t="s">
        <v>73</v>
      </c>
      <c r="D18" s="27" t="s">
        <v>74</v>
      </c>
      <c r="E18" s="27" t="s">
        <v>74</v>
      </c>
      <c r="F18" s="27" t="s">
        <v>77</v>
      </c>
      <c r="G18" s="28" t="s">
        <v>7</v>
      </c>
      <c r="H18" s="288" t="s">
        <v>6</v>
      </c>
      <c r="I18" s="30">
        <v>12</v>
      </c>
      <c r="J18" s="31">
        <v>1327032000</v>
      </c>
      <c r="K18" s="343">
        <v>10</v>
      </c>
      <c r="L18" s="148">
        <f>654789002+254076000</f>
        <v>908865002</v>
      </c>
      <c r="M18" s="33">
        <v>2</v>
      </c>
      <c r="N18" s="59">
        <v>336900000</v>
      </c>
      <c r="O18" s="181">
        <v>0</v>
      </c>
      <c r="P18" s="282">
        <v>0</v>
      </c>
      <c r="Q18" s="422">
        <v>1</v>
      </c>
      <c r="R18" s="282">
        <v>118747000</v>
      </c>
      <c r="S18" s="172"/>
      <c r="T18" s="251"/>
      <c r="U18" s="181"/>
      <c r="V18" s="251"/>
      <c r="W18" s="153">
        <f t="shared" si="0"/>
        <v>1</v>
      </c>
      <c r="X18" s="148">
        <f t="shared" si="1"/>
        <v>118747000</v>
      </c>
      <c r="Y18" s="38">
        <f t="shared" si="4"/>
        <v>50</v>
      </c>
      <c r="Z18" s="39">
        <f t="shared" si="5"/>
        <v>35.246957554170379</v>
      </c>
      <c r="AA18" s="338">
        <f t="shared" si="6"/>
        <v>11</v>
      </c>
      <c r="AB18" s="36">
        <f t="shared" si="2"/>
        <v>1027612002</v>
      </c>
      <c r="AC18" s="143">
        <f t="shared" si="7"/>
        <v>91.666666666666657</v>
      </c>
      <c r="AD18" s="39">
        <f t="shared" si="3"/>
        <v>77.436866782413688</v>
      </c>
      <c r="AE18" s="160" t="s">
        <v>281</v>
      </c>
      <c r="AF18" s="41"/>
      <c r="AG18" s="472"/>
      <c r="AH18" s="484"/>
      <c r="AI18" s="484"/>
    </row>
    <row r="19" spans="1:45" ht="30.75" customHeight="1" x14ac:dyDescent="0.25">
      <c r="A19" s="26"/>
      <c r="B19" s="27" t="s">
        <v>139</v>
      </c>
      <c r="C19" s="27" t="s">
        <v>73</v>
      </c>
      <c r="D19" s="27" t="s">
        <v>74</v>
      </c>
      <c r="E19" s="27" t="s">
        <v>74</v>
      </c>
      <c r="F19" s="27" t="s">
        <v>78</v>
      </c>
      <c r="G19" s="158" t="s">
        <v>9</v>
      </c>
      <c r="H19" s="288" t="s">
        <v>8</v>
      </c>
      <c r="I19" s="30">
        <v>60</v>
      </c>
      <c r="J19" s="31">
        <v>1852386430</v>
      </c>
      <c r="K19" s="344">
        <v>48</v>
      </c>
      <c r="L19" s="148">
        <f>938507300+368907860</f>
        <v>1307415160</v>
      </c>
      <c r="M19" s="33">
        <v>12</v>
      </c>
      <c r="N19" s="59">
        <v>411693900</v>
      </c>
      <c r="O19" s="181">
        <v>3</v>
      </c>
      <c r="P19" s="421">
        <v>0</v>
      </c>
      <c r="Q19" s="422">
        <v>3</v>
      </c>
      <c r="R19" s="282">
        <v>204248700</v>
      </c>
      <c r="S19" s="154"/>
      <c r="T19" s="148"/>
      <c r="U19" s="153"/>
      <c r="V19" s="148"/>
      <c r="W19" s="153">
        <f t="shared" si="0"/>
        <v>6</v>
      </c>
      <c r="X19" s="148">
        <f t="shared" si="1"/>
        <v>204248700</v>
      </c>
      <c r="Y19" s="38">
        <f t="shared" si="4"/>
        <v>50</v>
      </c>
      <c r="Z19" s="39">
        <f t="shared" si="5"/>
        <v>49.611786815398531</v>
      </c>
      <c r="AA19" s="338">
        <f t="shared" si="6"/>
        <v>54</v>
      </c>
      <c r="AB19" s="36">
        <f t="shared" si="2"/>
        <v>1511663860</v>
      </c>
      <c r="AC19" s="143">
        <f t="shared" si="7"/>
        <v>90</v>
      </c>
      <c r="AD19" s="39">
        <f t="shared" si="3"/>
        <v>81.606290972451148</v>
      </c>
      <c r="AE19" s="160" t="s">
        <v>281</v>
      </c>
      <c r="AF19" s="41"/>
      <c r="AG19" s="472"/>
      <c r="AH19" s="484"/>
      <c r="AI19" s="484"/>
    </row>
    <row r="20" spans="1:45" ht="59.25" customHeight="1" x14ac:dyDescent="0.25">
      <c r="A20" s="26"/>
      <c r="B20" s="27" t="s">
        <v>139</v>
      </c>
      <c r="C20" s="27" t="s">
        <v>73</v>
      </c>
      <c r="D20" s="27" t="s">
        <v>74</v>
      </c>
      <c r="E20" s="27" t="s">
        <v>74</v>
      </c>
      <c r="F20" s="27" t="s">
        <v>79</v>
      </c>
      <c r="G20" s="158" t="s">
        <v>11</v>
      </c>
      <c r="H20" s="288" t="s">
        <v>10</v>
      </c>
      <c r="I20" s="30">
        <v>60</v>
      </c>
      <c r="J20" s="31">
        <v>2645721000</v>
      </c>
      <c r="K20" s="344">
        <f>36+12</f>
        <v>48</v>
      </c>
      <c r="L20" s="148">
        <f>1506956300+633657000</f>
        <v>2140613300</v>
      </c>
      <c r="M20" s="33">
        <v>12</v>
      </c>
      <c r="N20" s="59">
        <v>422840000</v>
      </c>
      <c r="O20" s="181">
        <v>3</v>
      </c>
      <c r="P20" s="421">
        <v>0</v>
      </c>
      <c r="Q20" s="422">
        <v>3</v>
      </c>
      <c r="R20" s="282">
        <v>259528000</v>
      </c>
      <c r="S20" s="154"/>
      <c r="T20" s="148"/>
      <c r="U20" s="154"/>
      <c r="V20" s="148"/>
      <c r="W20" s="153">
        <f t="shared" si="0"/>
        <v>6</v>
      </c>
      <c r="X20" s="148">
        <f t="shared" si="1"/>
        <v>259528000</v>
      </c>
      <c r="Y20" s="38">
        <f t="shared" si="4"/>
        <v>50</v>
      </c>
      <c r="Z20" s="39">
        <f t="shared" si="5"/>
        <v>61.377353135937938</v>
      </c>
      <c r="AA20" s="338">
        <f t="shared" si="6"/>
        <v>54</v>
      </c>
      <c r="AB20" s="36">
        <f t="shared" si="2"/>
        <v>2400141300</v>
      </c>
      <c r="AC20" s="143">
        <f t="shared" si="7"/>
        <v>90</v>
      </c>
      <c r="AD20" s="39">
        <f t="shared" si="3"/>
        <v>90.717853469810308</v>
      </c>
      <c r="AE20" s="160" t="s">
        <v>281</v>
      </c>
      <c r="AF20" s="41"/>
      <c r="AG20" s="472"/>
      <c r="AH20" s="484"/>
      <c r="AI20" s="484"/>
    </row>
    <row r="21" spans="1:45" ht="75" customHeight="1" x14ac:dyDescent="0.25">
      <c r="A21" s="26"/>
      <c r="B21" s="27" t="s">
        <v>139</v>
      </c>
      <c r="C21" s="27" t="s">
        <v>73</v>
      </c>
      <c r="D21" s="27" t="s">
        <v>74</v>
      </c>
      <c r="E21" s="27" t="s">
        <v>74</v>
      </c>
      <c r="F21" s="27" t="s">
        <v>80</v>
      </c>
      <c r="G21" s="49" t="s">
        <v>81</v>
      </c>
      <c r="H21" s="28" t="s">
        <v>115</v>
      </c>
      <c r="I21" s="30">
        <v>12</v>
      </c>
      <c r="J21" s="31">
        <v>126600000</v>
      </c>
      <c r="K21" s="343">
        <v>10</v>
      </c>
      <c r="L21" s="148">
        <f>79061600+25301500</f>
        <v>104363100</v>
      </c>
      <c r="M21" s="33">
        <v>2</v>
      </c>
      <c r="N21" s="59">
        <v>21100000</v>
      </c>
      <c r="O21" s="181">
        <v>0</v>
      </c>
      <c r="P21" s="421">
        <v>0</v>
      </c>
      <c r="Q21" s="422">
        <v>0</v>
      </c>
      <c r="R21" s="282">
        <v>9985500</v>
      </c>
      <c r="S21" s="152"/>
      <c r="T21" s="148"/>
      <c r="U21" s="154"/>
      <c r="V21" s="148"/>
      <c r="W21" s="153">
        <f t="shared" si="0"/>
        <v>0</v>
      </c>
      <c r="X21" s="148">
        <f t="shared" si="1"/>
        <v>9985500</v>
      </c>
      <c r="Y21" s="38">
        <f t="shared" si="4"/>
        <v>0</v>
      </c>
      <c r="Z21" s="39">
        <f t="shared" si="5"/>
        <v>47.324644549763036</v>
      </c>
      <c r="AA21" s="338">
        <f t="shared" si="6"/>
        <v>10</v>
      </c>
      <c r="AB21" s="36">
        <f t="shared" si="2"/>
        <v>114348600</v>
      </c>
      <c r="AC21" s="143">
        <f t="shared" si="7"/>
        <v>83.333333333333343</v>
      </c>
      <c r="AD21" s="39">
        <f t="shared" si="3"/>
        <v>90.32274881516588</v>
      </c>
      <c r="AE21" s="160" t="s">
        <v>281</v>
      </c>
      <c r="AF21" s="41"/>
      <c r="AG21" s="472"/>
      <c r="AH21" s="484"/>
      <c r="AI21" s="484"/>
    </row>
    <row r="22" spans="1:45" s="150" customFormat="1" ht="42" customHeight="1" x14ac:dyDescent="0.25">
      <c r="A22" s="147"/>
      <c r="B22" s="256" t="s">
        <v>139</v>
      </c>
      <c r="C22" s="256" t="s">
        <v>73</v>
      </c>
      <c r="D22" s="256" t="s">
        <v>74</v>
      </c>
      <c r="E22" s="256" t="s">
        <v>74</v>
      </c>
      <c r="F22" s="256" t="s">
        <v>143</v>
      </c>
      <c r="G22" s="257" t="s">
        <v>179</v>
      </c>
      <c r="H22" s="28" t="s">
        <v>180</v>
      </c>
      <c r="I22" s="30">
        <v>48</v>
      </c>
      <c r="J22" s="31">
        <v>118399500</v>
      </c>
      <c r="K22" s="344">
        <v>36</v>
      </c>
      <c r="L22" s="148">
        <f>63360000+8795000</f>
        <v>72155000</v>
      </c>
      <c r="M22" s="33">
        <v>12</v>
      </c>
      <c r="N22" s="59">
        <v>36200000</v>
      </c>
      <c r="O22" s="181">
        <v>3</v>
      </c>
      <c r="P22" s="421">
        <v>0</v>
      </c>
      <c r="Q22" s="422">
        <v>3</v>
      </c>
      <c r="R22" s="282">
        <v>19140000</v>
      </c>
      <c r="S22" s="154"/>
      <c r="T22" s="148"/>
      <c r="U22" s="154"/>
      <c r="V22" s="148"/>
      <c r="W22" s="153">
        <f t="shared" si="0"/>
        <v>6</v>
      </c>
      <c r="X22" s="148">
        <f t="shared" si="1"/>
        <v>19140000</v>
      </c>
      <c r="Y22" s="38">
        <f t="shared" si="4"/>
        <v>50</v>
      </c>
      <c r="Z22" s="39">
        <f t="shared" si="5"/>
        <v>52.872928176795575</v>
      </c>
      <c r="AA22" s="338">
        <f t="shared" si="6"/>
        <v>42</v>
      </c>
      <c r="AB22" s="148">
        <f t="shared" si="2"/>
        <v>91295000</v>
      </c>
      <c r="AC22" s="143">
        <f t="shared" si="7"/>
        <v>87.5</v>
      </c>
      <c r="AD22" s="258">
        <f t="shared" si="3"/>
        <v>77.107589136778458</v>
      </c>
      <c r="AE22" s="259" t="s">
        <v>281</v>
      </c>
      <c r="AF22" s="151"/>
      <c r="AG22" s="474"/>
      <c r="AH22" s="485"/>
      <c r="AI22" s="485"/>
    </row>
    <row r="23" spans="1:45" s="150" customFormat="1" ht="72.75" customHeight="1" x14ac:dyDescent="0.25">
      <c r="A23" s="147"/>
      <c r="B23" s="256" t="s">
        <v>139</v>
      </c>
      <c r="C23" s="256" t="s">
        <v>73</v>
      </c>
      <c r="D23" s="256" t="s">
        <v>74</v>
      </c>
      <c r="E23" s="256" t="s">
        <v>74</v>
      </c>
      <c r="F23" s="256" t="s">
        <v>82</v>
      </c>
      <c r="G23" s="158" t="s">
        <v>12</v>
      </c>
      <c r="H23" s="288" t="s">
        <v>273</v>
      </c>
      <c r="I23" s="30">
        <v>60</v>
      </c>
      <c r="J23" s="31">
        <v>258215000</v>
      </c>
      <c r="K23" s="344">
        <v>48</v>
      </c>
      <c r="L23" s="148">
        <f>138907500+42750000</f>
        <v>181657500</v>
      </c>
      <c r="M23" s="33">
        <v>12</v>
      </c>
      <c r="N23" s="59">
        <v>42270000</v>
      </c>
      <c r="O23" s="181">
        <v>3</v>
      </c>
      <c r="P23" s="421">
        <v>3130000</v>
      </c>
      <c r="Q23" s="422">
        <v>3</v>
      </c>
      <c r="R23" s="282">
        <f>9390000-3130000</f>
        <v>6260000</v>
      </c>
      <c r="S23" s="154"/>
      <c r="T23" s="148"/>
      <c r="U23" s="154"/>
      <c r="V23" s="148"/>
      <c r="W23" s="153">
        <f t="shared" si="0"/>
        <v>6</v>
      </c>
      <c r="X23" s="148">
        <f t="shared" si="1"/>
        <v>9390000</v>
      </c>
      <c r="Y23" s="38">
        <f t="shared" si="4"/>
        <v>50</v>
      </c>
      <c r="Z23" s="39">
        <f t="shared" si="5"/>
        <v>22.214336408800566</v>
      </c>
      <c r="AA23" s="338">
        <f t="shared" si="6"/>
        <v>54</v>
      </c>
      <c r="AB23" s="148">
        <f t="shared" si="2"/>
        <v>191047500</v>
      </c>
      <c r="AC23" s="143">
        <f t="shared" si="7"/>
        <v>90</v>
      </c>
      <c r="AD23" s="149">
        <f t="shared" si="3"/>
        <v>73.987762136204324</v>
      </c>
      <c r="AE23" s="259" t="s">
        <v>281</v>
      </c>
      <c r="AF23" s="151"/>
      <c r="AG23" s="474"/>
      <c r="AH23" s="485"/>
      <c r="AI23" s="485"/>
    </row>
    <row r="24" spans="1:45" s="150" customFormat="1" ht="42.75" customHeight="1" x14ac:dyDescent="0.25">
      <c r="A24" s="147"/>
      <c r="B24" s="256" t="s">
        <v>139</v>
      </c>
      <c r="C24" s="256" t="s">
        <v>73</v>
      </c>
      <c r="D24" s="256" t="s">
        <v>74</v>
      </c>
      <c r="E24" s="256" t="s">
        <v>74</v>
      </c>
      <c r="F24" s="256" t="s">
        <v>83</v>
      </c>
      <c r="G24" s="158" t="s">
        <v>14</v>
      </c>
      <c r="H24" s="288" t="s">
        <v>13</v>
      </c>
      <c r="I24" s="30">
        <v>60</v>
      </c>
      <c r="J24" s="31">
        <v>836909000</v>
      </c>
      <c r="K24" s="344">
        <f>36+12</f>
        <v>48</v>
      </c>
      <c r="L24" s="148">
        <f>395590248+111430000</f>
        <v>507020248</v>
      </c>
      <c r="M24" s="33">
        <v>12</v>
      </c>
      <c r="N24" s="59">
        <v>118340000</v>
      </c>
      <c r="O24" s="181">
        <v>3</v>
      </c>
      <c r="P24" s="421">
        <v>23500000</v>
      </c>
      <c r="Q24" s="422">
        <v>3</v>
      </c>
      <c r="R24" s="282">
        <f>38500000-23500000</f>
        <v>15000000</v>
      </c>
      <c r="S24" s="154"/>
      <c r="T24" s="148"/>
      <c r="U24" s="153"/>
      <c r="V24" s="148"/>
      <c r="W24" s="153">
        <f t="shared" si="0"/>
        <v>6</v>
      </c>
      <c r="X24" s="148">
        <f t="shared" si="1"/>
        <v>38500000</v>
      </c>
      <c r="Y24" s="38">
        <f t="shared" si="4"/>
        <v>50</v>
      </c>
      <c r="Z24" s="39">
        <f t="shared" si="5"/>
        <v>32.533378401216837</v>
      </c>
      <c r="AA24" s="338">
        <f t="shared" si="6"/>
        <v>54</v>
      </c>
      <c r="AB24" s="148">
        <f t="shared" si="2"/>
        <v>545520248</v>
      </c>
      <c r="AC24" s="143">
        <f t="shared" si="7"/>
        <v>90</v>
      </c>
      <c r="AD24" s="149">
        <f t="shared" si="3"/>
        <v>65.182743643574142</v>
      </c>
      <c r="AE24" s="259" t="s">
        <v>281</v>
      </c>
      <c r="AF24" s="151"/>
      <c r="AG24" s="474"/>
      <c r="AH24" s="485"/>
      <c r="AI24" s="485"/>
    </row>
    <row r="25" spans="1:45" s="150" customFormat="1" ht="54.75" customHeight="1" x14ac:dyDescent="0.25">
      <c r="A25" s="147"/>
      <c r="B25" s="256" t="s">
        <v>139</v>
      </c>
      <c r="C25" s="256" t="s">
        <v>73</v>
      </c>
      <c r="D25" s="256" t="s">
        <v>74</v>
      </c>
      <c r="E25" s="256" t="s">
        <v>74</v>
      </c>
      <c r="F25" s="256" t="s">
        <v>84</v>
      </c>
      <c r="G25" s="158" t="s">
        <v>15</v>
      </c>
      <c r="H25" s="288" t="s">
        <v>116</v>
      </c>
      <c r="I25" s="30">
        <v>60</v>
      </c>
      <c r="J25" s="31">
        <v>3286432684</v>
      </c>
      <c r="K25" s="344">
        <v>48</v>
      </c>
      <c r="L25" s="148">
        <v>2591651351</v>
      </c>
      <c r="M25" s="33">
        <v>12</v>
      </c>
      <c r="N25" s="59">
        <v>483349844</v>
      </c>
      <c r="O25" s="181">
        <v>3</v>
      </c>
      <c r="P25" s="421">
        <v>50584820</v>
      </c>
      <c r="Q25" s="422">
        <v>3</v>
      </c>
      <c r="R25" s="282">
        <f>186917020-50584820</f>
        <v>136332200</v>
      </c>
      <c r="S25" s="154"/>
      <c r="T25" s="148"/>
      <c r="U25" s="153"/>
      <c r="V25" s="148"/>
      <c r="W25" s="153">
        <f t="shared" si="0"/>
        <v>6</v>
      </c>
      <c r="X25" s="148">
        <f t="shared" si="1"/>
        <v>186917020</v>
      </c>
      <c r="Y25" s="38">
        <f t="shared" si="4"/>
        <v>50</v>
      </c>
      <c r="Z25" s="39">
        <f t="shared" si="5"/>
        <v>38.671165889524936</v>
      </c>
      <c r="AA25" s="338">
        <f t="shared" si="6"/>
        <v>54</v>
      </c>
      <c r="AB25" s="148">
        <f t="shared" si="2"/>
        <v>2778568371</v>
      </c>
      <c r="AC25" s="143">
        <f t="shared" si="7"/>
        <v>90</v>
      </c>
      <c r="AD25" s="149">
        <f t="shared" si="3"/>
        <v>84.546638807709712</v>
      </c>
      <c r="AE25" s="259" t="s">
        <v>281</v>
      </c>
      <c r="AF25" s="151"/>
      <c r="AG25" s="474"/>
      <c r="AH25" s="485"/>
      <c r="AI25" s="485"/>
    </row>
    <row r="26" spans="1:45" s="150" customFormat="1" ht="54.75" customHeight="1" x14ac:dyDescent="0.25">
      <c r="A26" s="147"/>
      <c r="B26" s="256" t="s">
        <v>139</v>
      </c>
      <c r="C26" s="256" t="s">
        <v>73</v>
      </c>
      <c r="D26" s="256" t="s">
        <v>74</v>
      </c>
      <c r="E26" s="256" t="s">
        <v>74</v>
      </c>
      <c r="F26" s="256" t="s">
        <v>144</v>
      </c>
      <c r="G26" s="158" t="s">
        <v>86</v>
      </c>
      <c r="H26" s="288" t="s">
        <v>117</v>
      </c>
      <c r="I26" s="30">
        <v>60</v>
      </c>
      <c r="J26" s="31">
        <v>163448568</v>
      </c>
      <c r="K26" s="344">
        <v>48</v>
      </c>
      <c r="L26" s="148">
        <v>118010000</v>
      </c>
      <c r="M26" s="33">
        <v>12</v>
      </c>
      <c r="N26" s="59">
        <v>31400000</v>
      </c>
      <c r="O26" s="181">
        <v>3</v>
      </c>
      <c r="P26" s="282">
        <v>0</v>
      </c>
      <c r="Q26" s="422">
        <v>3</v>
      </c>
      <c r="R26" s="423">
        <v>0</v>
      </c>
      <c r="S26" s="154"/>
      <c r="T26" s="148"/>
      <c r="U26" s="154"/>
      <c r="V26" s="148"/>
      <c r="W26" s="153">
        <f>O26+Q26+S26+U26</f>
        <v>6</v>
      </c>
      <c r="X26" s="148">
        <f>SUM(P26+R26+T26+V26)</f>
        <v>0</v>
      </c>
      <c r="Y26" s="38">
        <f t="shared" ref="Y26:Z28" si="8">SUM(W26/M26*100)</f>
        <v>50</v>
      </c>
      <c r="Z26" s="39">
        <f t="shared" si="8"/>
        <v>0</v>
      </c>
      <c r="AA26" s="338">
        <f t="shared" ref="AA26:AB28" si="9">SUM(K26+W26)</f>
        <v>54</v>
      </c>
      <c r="AB26" s="148">
        <f t="shared" si="9"/>
        <v>118010000</v>
      </c>
      <c r="AC26" s="143">
        <f>SUM(AA26/I26*100)</f>
        <v>90</v>
      </c>
      <c r="AD26" s="149">
        <f>SUM(AB26/J26)*100</f>
        <v>72.200081924241758</v>
      </c>
      <c r="AE26" s="259" t="s">
        <v>281</v>
      </c>
      <c r="AF26" s="151"/>
      <c r="AG26" s="474"/>
      <c r="AH26" s="485"/>
      <c r="AI26" s="485"/>
    </row>
    <row r="27" spans="1:45" s="150" customFormat="1" ht="54" customHeight="1" x14ac:dyDescent="0.25">
      <c r="A27" s="147"/>
      <c r="B27" s="256" t="s">
        <v>274</v>
      </c>
      <c r="C27" s="256" t="s">
        <v>73</v>
      </c>
      <c r="D27" s="256" t="s">
        <v>74</v>
      </c>
      <c r="E27" s="256" t="s">
        <v>74</v>
      </c>
      <c r="F27" s="256" t="s">
        <v>294</v>
      </c>
      <c r="G27" s="158" t="s">
        <v>295</v>
      </c>
      <c r="H27" s="288" t="s">
        <v>296</v>
      </c>
      <c r="I27" s="30">
        <v>15</v>
      </c>
      <c r="J27" s="31">
        <v>91290000</v>
      </c>
      <c r="K27" s="344">
        <v>3</v>
      </c>
      <c r="L27" s="148">
        <v>17890000</v>
      </c>
      <c r="M27" s="33">
        <v>12</v>
      </c>
      <c r="N27" s="59">
        <v>71640000</v>
      </c>
      <c r="O27" s="181">
        <v>3</v>
      </c>
      <c r="P27" s="282">
        <v>6080000</v>
      </c>
      <c r="Q27" s="422">
        <v>3</v>
      </c>
      <c r="R27" s="423">
        <f>16610000-6080000</f>
        <v>10530000</v>
      </c>
      <c r="S27" s="154"/>
      <c r="T27" s="148"/>
      <c r="U27" s="154"/>
      <c r="V27" s="148"/>
      <c r="W27" s="153">
        <f>O27+Q27+S27+U27</f>
        <v>6</v>
      </c>
      <c r="X27" s="148">
        <f>SUM(P27+R27+T27+V27)</f>
        <v>16610000</v>
      </c>
      <c r="Y27" s="38">
        <f t="shared" si="8"/>
        <v>50</v>
      </c>
      <c r="Z27" s="39">
        <f t="shared" si="8"/>
        <v>23.185371300949189</v>
      </c>
      <c r="AA27" s="338">
        <f t="shared" si="9"/>
        <v>9</v>
      </c>
      <c r="AB27" s="148">
        <f t="shared" si="9"/>
        <v>34500000</v>
      </c>
      <c r="AC27" s="143">
        <f>SUM(AA27/I27*100)</f>
        <v>60</v>
      </c>
      <c r="AD27" s="149">
        <f>SUM(AB27/J27)*100</f>
        <v>37.791652974038776</v>
      </c>
      <c r="AE27" s="259" t="s">
        <v>281</v>
      </c>
      <c r="AF27" s="151"/>
      <c r="AG27" s="474"/>
      <c r="AH27" s="485"/>
      <c r="AI27" s="485"/>
    </row>
    <row r="28" spans="1:45" s="150" customFormat="1" ht="55.5" customHeight="1" x14ac:dyDescent="0.25">
      <c r="A28" s="147"/>
      <c r="B28" s="256" t="s">
        <v>286</v>
      </c>
      <c r="C28" s="256" t="s">
        <v>73</v>
      </c>
      <c r="D28" s="256" t="s">
        <v>74</v>
      </c>
      <c r="E28" s="256" t="s">
        <v>74</v>
      </c>
      <c r="F28" s="256" t="s">
        <v>90</v>
      </c>
      <c r="G28" s="158" t="s">
        <v>297</v>
      </c>
      <c r="H28" s="288" t="s">
        <v>298</v>
      </c>
      <c r="I28" s="30">
        <v>15</v>
      </c>
      <c r="J28" s="31">
        <v>101640000</v>
      </c>
      <c r="K28" s="344">
        <v>3</v>
      </c>
      <c r="L28" s="148">
        <v>24967500</v>
      </c>
      <c r="M28" s="33">
        <v>12</v>
      </c>
      <c r="N28" s="59">
        <v>76640000</v>
      </c>
      <c r="O28" s="181">
        <v>3</v>
      </c>
      <c r="P28" s="282">
        <v>5442500</v>
      </c>
      <c r="Q28" s="422">
        <v>3</v>
      </c>
      <c r="R28" s="423">
        <f>20580000-5442500</f>
        <v>15137500</v>
      </c>
      <c r="S28" s="154"/>
      <c r="T28" s="148"/>
      <c r="U28" s="154"/>
      <c r="V28" s="148"/>
      <c r="W28" s="153">
        <f>O28+Q28+S28+U28</f>
        <v>6</v>
      </c>
      <c r="X28" s="148">
        <f>SUM(P28+R28+T28+V28)</f>
        <v>20580000</v>
      </c>
      <c r="Y28" s="38">
        <f t="shared" si="8"/>
        <v>50</v>
      </c>
      <c r="Z28" s="39">
        <f t="shared" si="8"/>
        <v>26.852818371607519</v>
      </c>
      <c r="AA28" s="338">
        <f t="shared" si="9"/>
        <v>9</v>
      </c>
      <c r="AB28" s="148">
        <f t="shared" si="9"/>
        <v>45547500</v>
      </c>
      <c r="AC28" s="143">
        <f>SUM(AA28/I28*100)</f>
        <v>60</v>
      </c>
      <c r="AD28" s="149">
        <f>SUM(AB28/J28)*100</f>
        <v>44.812573789846518</v>
      </c>
      <c r="AE28" s="259" t="s">
        <v>281</v>
      </c>
      <c r="AF28" s="151"/>
      <c r="AG28" s="474"/>
      <c r="AH28" s="485"/>
      <c r="AI28" s="485"/>
    </row>
    <row r="29" spans="1:45" ht="72" customHeight="1" x14ac:dyDescent="0.25">
      <c r="A29" s="26"/>
      <c r="B29" s="52" t="s">
        <v>139</v>
      </c>
      <c r="C29" s="52" t="s">
        <v>73</v>
      </c>
      <c r="D29" s="52" t="s">
        <v>74</v>
      </c>
      <c r="E29" s="52" t="s">
        <v>75</v>
      </c>
      <c r="F29" s="52"/>
      <c r="G29" s="161" t="s">
        <v>16</v>
      </c>
      <c r="H29" s="155" t="s">
        <v>245</v>
      </c>
      <c r="I29" s="17">
        <v>60</v>
      </c>
      <c r="J29" s="156">
        <f>SUM(J30:J39)</f>
        <v>20160774278.5</v>
      </c>
      <c r="K29" s="342">
        <f>36+12</f>
        <v>48</v>
      </c>
      <c r="L29" s="18">
        <v>8639469294</v>
      </c>
      <c r="M29" s="17">
        <v>12</v>
      </c>
      <c r="N29" s="18">
        <f>SUM(N30:N39)</f>
        <v>3511736000</v>
      </c>
      <c r="O29" s="53">
        <v>3</v>
      </c>
      <c r="P29" s="54">
        <f>SUM(P30:P39)</f>
        <v>117377725</v>
      </c>
      <c r="Q29" s="53">
        <v>3</v>
      </c>
      <c r="R29" s="54">
        <f>SUM(R32:R38)</f>
        <v>1981838428</v>
      </c>
      <c r="S29" s="21">
        <v>3</v>
      </c>
      <c r="T29" s="18">
        <f>SUM(T30:T39)</f>
        <v>0</v>
      </c>
      <c r="U29" s="22">
        <v>3</v>
      </c>
      <c r="V29" s="54">
        <f>SUM(V30:V39)</f>
        <v>0</v>
      </c>
      <c r="W29" s="20">
        <f t="shared" si="0"/>
        <v>12</v>
      </c>
      <c r="X29" s="18">
        <f t="shared" si="1"/>
        <v>2099216153</v>
      </c>
      <c r="Y29" s="23">
        <f t="shared" si="4"/>
        <v>100</v>
      </c>
      <c r="Z29" s="24">
        <f t="shared" si="4"/>
        <v>59.77716300428051</v>
      </c>
      <c r="AA29" s="370">
        <f t="shared" si="6"/>
        <v>60</v>
      </c>
      <c r="AB29" s="54">
        <f t="shared" si="2"/>
        <v>10738685447</v>
      </c>
      <c r="AC29" s="78">
        <f t="shared" si="7"/>
        <v>100</v>
      </c>
      <c r="AD29" s="24">
        <f t="shared" si="3"/>
        <v>53.265243182907049</v>
      </c>
      <c r="AE29" s="25" t="s">
        <v>281</v>
      </c>
      <c r="AF29" s="56"/>
      <c r="AG29" s="475"/>
      <c r="AH29" s="487"/>
      <c r="AI29" s="487"/>
    </row>
    <row r="30" spans="1:45" s="146" customFormat="1" ht="52.5" customHeight="1" x14ac:dyDescent="0.25">
      <c r="A30" s="162"/>
      <c r="B30" s="27" t="s">
        <v>139</v>
      </c>
      <c r="C30" s="27" t="s">
        <v>73</v>
      </c>
      <c r="D30" s="27" t="s">
        <v>74</v>
      </c>
      <c r="E30" s="27" t="s">
        <v>75</v>
      </c>
      <c r="F30" s="277" t="s">
        <v>73</v>
      </c>
      <c r="G30" s="100" t="s">
        <v>87</v>
      </c>
      <c r="H30" s="278" t="s">
        <v>118</v>
      </c>
      <c r="I30" s="103">
        <v>22</v>
      </c>
      <c r="J30" s="279">
        <v>1431695000</v>
      </c>
      <c r="K30" s="345">
        <v>20</v>
      </c>
      <c r="L30" s="170">
        <v>1348034784</v>
      </c>
      <c r="M30" s="532">
        <v>0</v>
      </c>
      <c r="N30" s="280">
        <v>0</v>
      </c>
      <c r="O30" s="424"/>
      <c r="P30" s="430"/>
      <c r="Q30" s="424"/>
      <c r="R30" s="444"/>
      <c r="S30" s="281"/>
      <c r="T30" s="170"/>
      <c r="U30" s="86"/>
      <c r="V30" s="170"/>
      <c r="W30" s="153">
        <f t="shared" si="0"/>
        <v>0</v>
      </c>
      <c r="X30" s="148">
        <f t="shared" si="1"/>
        <v>0</v>
      </c>
      <c r="Y30" s="38" t="e">
        <f t="shared" si="4"/>
        <v>#DIV/0!</v>
      </c>
      <c r="Z30" s="39" t="e">
        <f t="shared" si="4"/>
        <v>#DIV/0!</v>
      </c>
      <c r="AA30" s="338">
        <f t="shared" si="6"/>
        <v>20</v>
      </c>
      <c r="AB30" s="148">
        <f t="shared" ref="AB30" si="10">SUM(L30+X30)</f>
        <v>1348034784</v>
      </c>
      <c r="AC30" s="143">
        <f>SUM(AA30/I30*100)</f>
        <v>90.909090909090907</v>
      </c>
      <c r="AD30" s="149">
        <f>SUM(AB30/J30)*100</f>
        <v>94.156561558153101</v>
      </c>
      <c r="AE30" s="160" t="s">
        <v>281</v>
      </c>
      <c r="AF30" s="145"/>
      <c r="AG30" s="476"/>
      <c r="AH30" s="486"/>
      <c r="AI30" s="486"/>
    </row>
    <row r="31" spans="1:45" s="146" customFormat="1" ht="43.5" customHeight="1" x14ac:dyDescent="0.25">
      <c r="A31" s="162"/>
      <c r="B31" s="27" t="s">
        <v>139</v>
      </c>
      <c r="C31" s="27" t="s">
        <v>73</v>
      </c>
      <c r="D31" s="27" t="s">
        <v>74</v>
      </c>
      <c r="E31" s="27" t="s">
        <v>75</v>
      </c>
      <c r="F31" s="277" t="s">
        <v>88</v>
      </c>
      <c r="G31" s="533" t="s">
        <v>17</v>
      </c>
      <c r="H31" s="278" t="s">
        <v>119</v>
      </c>
      <c r="I31" s="103">
        <v>103</v>
      </c>
      <c r="J31" s="284">
        <v>557412000</v>
      </c>
      <c r="K31" s="345">
        <f>78+0</f>
        <v>78</v>
      </c>
      <c r="L31" s="170">
        <f>225081000+0</f>
        <v>225081000</v>
      </c>
      <c r="M31" s="157">
        <v>24</v>
      </c>
      <c r="N31" s="280">
        <v>318296000</v>
      </c>
      <c r="O31" s="424">
        <v>3</v>
      </c>
      <c r="P31" s="170">
        <v>0</v>
      </c>
      <c r="Q31" s="528"/>
      <c r="R31" s="170">
        <v>112740000</v>
      </c>
      <c r="S31" s="285"/>
      <c r="T31" s="170"/>
      <c r="U31" s="103"/>
      <c r="V31" s="170"/>
      <c r="W31" s="153">
        <f t="shared" si="0"/>
        <v>3</v>
      </c>
      <c r="X31" s="148">
        <f t="shared" si="1"/>
        <v>112740000</v>
      </c>
      <c r="Y31" s="38">
        <f t="shared" si="4"/>
        <v>12.5</v>
      </c>
      <c r="Z31" s="275">
        <v>0</v>
      </c>
      <c r="AA31" s="338">
        <f t="shared" si="6"/>
        <v>81</v>
      </c>
      <c r="AB31" s="282">
        <f t="shared" si="2"/>
        <v>337821000</v>
      </c>
      <c r="AC31" s="143">
        <f t="shared" si="7"/>
        <v>78.640776699029118</v>
      </c>
      <c r="AD31" s="283">
        <f t="shared" si="3"/>
        <v>60.605261458310913</v>
      </c>
      <c r="AE31" s="160" t="s">
        <v>281</v>
      </c>
      <c r="AF31" s="145"/>
      <c r="AG31" s="476"/>
      <c r="AH31" s="486"/>
      <c r="AI31" s="486"/>
      <c r="AS31" s="146">
        <f>797/8</f>
        <v>99.625</v>
      </c>
    </row>
    <row r="32" spans="1:45" ht="43.5" customHeight="1" x14ac:dyDescent="0.25">
      <c r="A32" s="162"/>
      <c r="B32" s="27" t="s">
        <v>139</v>
      </c>
      <c r="C32" s="27" t="s">
        <v>73</v>
      </c>
      <c r="D32" s="27" t="s">
        <v>74</v>
      </c>
      <c r="E32" s="27" t="s">
        <v>75</v>
      </c>
      <c r="F32" s="27" t="s">
        <v>89</v>
      </c>
      <c r="G32" s="28" t="s">
        <v>18</v>
      </c>
      <c r="H32" s="288" t="s">
        <v>120</v>
      </c>
      <c r="I32" s="51">
        <v>667</v>
      </c>
      <c r="J32" s="63">
        <v>6955375592</v>
      </c>
      <c r="K32" s="346">
        <f>252+94</f>
        <v>346</v>
      </c>
      <c r="L32" s="61">
        <f>2336260000+1026390390</f>
        <v>3362650390</v>
      </c>
      <c r="M32" s="33">
        <v>104</v>
      </c>
      <c r="N32" s="59">
        <v>1068800000</v>
      </c>
      <c r="O32" s="424">
        <v>0</v>
      </c>
      <c r="P32" s="425">
        <v>0</v>
      </c>
      <c r="Q32" s="529"/>
      <c r="R32" s="170">
        <v>927829200</v>
      </c>
      <c r="S32" s="64"/>
      <c r="T32" s="61"/>
      <c r="U32" s="61"/>
      <c r="V32" s="61"/>
      <c r="W32" s="153">
        <f t="shared" si="0"/>
        <v>0</v>
      </c>
      <c r="X32" s="148">
        <f t="shared" si="1"/>
        <v>927829200</v>
      </c>
      <c r="Y32" s="38">
        <f t="shared" si="4"/>
        <v>0</v>
      </c>
      <c r="Z32" s="159">
        <f t="shared" si="4"/>
        <v>86.810366766467055</v>
      </c>
      <c r="AA32" s="338">
        <f t="shared" si="6"/>
        <v>346</v>
      </c>
      <c r="AB32" s="32">
        <f t="shared" si="2"/>
        <v>4290479590</v>
      </c>
      <c r="AC32" s="143">
        <f t="shared" si="7"/>
        <v>51.874062968515744</v>
      </c>
      <c r="AD32" s="159">
        <f t="shared" si="3"/>
        <v>61.685807376597523</v>
      </c>
      <c r="AE32" s="160" t="s">
        <v>281</v>
      </c>
      <c r="AF32" s="41"/>
      <c r="AG32" s="472"/>
      <c r="AH32" s="484"/>
      <c r="AI32" s="484"/>
    </row>
    <row r="33" spans="1:35" ht="32.25" customHeight="1" x14ac:dyDescent="0.25">
      <c r="A33" s="26"/>
      <c r="B33" s="27" t="s">
        <v>139</v>
      </c>
      <c r="C33" s="27" t="s">
        <v>73</v>
      </c>
      <c r="D33" s="27" t="s">
        <v>74</v>
      </c>
      <c r="E33" s="27" t="s">
        <v>75</v>
      </c>
      <c r="F33" s="27" t="s">
        <v>78</v>
      </c>
      <c r="G33" s="28" t="s">
        <v>19</v>
      </c>
      <c r="H33" s="288" t="s">
        <v>121</v>
      </c>
      <c r="I33" s="51">
        <v>183</v>
      </c>
      <c r="J33" s="63">
        <v>1018147527</v>
      </c>
      <c r="K33" s="346">
        <f>85+4</f>
        <v>89</v>
      </c>
      <c r="L33" s="61">
        <f>374275800+130009500</f>
        <v>504285300</v>
      </c>
      <c r="M33" s="33">
        <v>2</v>
      </c>
      <c r="N33" s="59">
        <v>190800000</v>
      </c>
      <c r="O33" s="86">
        <v>0</v>
      </c>
      <c r="P33" s="170">
        <v>0</v>
      </c>
      <c r="Q33" s="86">
        <v>1</v>
      </c>
      <c r="R33" s="170">
        <v>89300000</v>
      </c>
      <c r="S33" s="60"/>
      <c r="T33" s="61"/>
      <c r="U33" s="61"/>
      <c r="V33" s="61"/>
      <c r="W33" s="153">
        <f t="shared" si="0"/>
        <v>1</v>
      </c>
      <c r="X33" s="148">
        <f t="shared" si="1"/>
        <v>89300000</v>
      </c>
      <c r="Y33" s="38">
        <f t="shared" si="4"/>
        <v>50</v>
      </c>
      <c r="Z33" s="39">
        <f t="shared" si="4"/>
        <v>46.80293501048218</v>
      </c>
      <c r="AA33" s="338">
        <f t="shared" si="6"/>
        <v>90</v>
      </c>
      <c r="AB33" s="36">
        <f t="shared" si="2"/>
        <v>593585300</v>
      </c>
      <c r="AC33" s="143">
        <f t="shared" si="7"/>
        <v>49.180327868852459</v>
      </c>
      <c r="AD33" s="39">
        <f t="shared" si="3"/>
        <v>58.30051974383472</v>
      </c>
      <c r="AE33" s="160" t="s">
        <v>281</v>
      </c>
      <c r="AF33" s="41"/>
      <c r="AG33" s="472"/>
      <c r="AH33" s="484"/>
      <c r="AI33" s="484"/>
    </row>
    <row r="34" spans="1:35" ht="57" customHeight="1" x14ac:dyDescent="0.25">
      <c r="A34" s="26"/>
      <c r="B34" s="27" t="s">
        <v>139</v>
      </c>
      <c r="C34" s="27" t="s">
        <v>73</v>
      </c>
      <c r="D34" s="27" t="s">
        <v>74</v>
      </c>
      <c r="E34" s="27" t="s">
        <v>75</v>
      </c>
      <c r="F34" s="27" t="s">
        <v>79</v>
      </c>
      <c r="G34" s="65" t="s">
        <v>20</v>
      </c>
      <c r="H34" s="28" t="s">
        <v>163</v>
      </c>
      <c r="I34" s="51">
        <v>17</v>
      </c>
      <c r="J34" s="43">
        <v>708600000</v>
      </c>
      <c r="K34" s="347">
        <f>8+12</f>
        <v>20</v>
      </c>
      <c r="L34" s="67">
        <f>411086000+99080000</f>
        <v>510166000</v>
      </c>
      <c r="M34" s="33">
        <v>2</v>
      </c>
      <c r="N34" s="59">
        <v>326040000</v>
      </c>
      <c r="O34" s="426">
        <v>0</v>
      </c>
      <c r="P34" s="427">
        <v>0</v>
      </c>
      <c r="Q34" s="86">
        <v>2</v>
      </c>
      <c r="R34" s="425">
        <v>322000000</v>
      </c>
      <c r="S34" s="60"/>
      <c r="T34" s="67"/>
      <c r="U34" s="60"/>
      <c r="V34" s="67"/>
      <c r="W34" s="153">
        <f t="shared" si="0"/>
        <v>2</v>
      </c>
      <c r="X34" s="148">
        <f t="shared" si="1"/>
        <v>322000000</v>
      </c>
      <c r="Y34" s="38">
        <f>SUM(W34/M34*100)</f>
        <v>100</v>
      </c>
      <c r="Z34" s="39">
        <f t="shared" si="4"/>
        <v>98.760888234572448</v>
      </c>
      <c r="AA34" s="338">
        <f t="shared" si="6"/>
        <v>22</v>
      </c>
      <c r="AB34" s="36">
        <f t="shared" si="2"/>
        <v>832166000</v>
      </c>
      <c r="AC34" s="143">
        <f t="shared" si="7"/>
        <v>129.41176470588235</v>
      </c>
      <c r="AD34" s="39">
        <f t="shared" si="3"/>
        <v>117.43804685294947</v>
      </c>
      <c r="AE34" s="160" t="s">
        <v>281</v>
      </c>
      <c r="AF34" s="41"/>
      <c r="AG34" s="472"/>
      <c r="AH34" s="484"/>
      <c r="AI34" s="484"/>
    </row>
    <row r="35" spans="1:35" ht="49.5" customHeight="1" x14ac:dyDescent="0.25">
      <c r="A35" s="26"/>
      <c r="B35" s="27" t="s">
        <v>139</v>
      </c>
      <c r="C35" s="27" t="s">
        <v>73</v>
      </c>
      <c r="D35" s="27" t="s">
        <v>74</v>
      </c>
      <c r="E35" s="27" t="s">
        <v>75</v>
      </c>
      <c r="F35" s="27" t="s">
        <v>90</v>
      </c>
      <c r="G35" s="28" t="s">
        <v>21</v>
      </c>
      <c r="H35" s="288" t="s">
        <v>122</v>
      </c>
      <c r="I35" s="51">
        <v>23</v>
      </c>
      <c r="J35" s="63">
        <v>1990018396</v>
      </c>
      <c r="K35" s="347">
        <f>9+3</f>
        <v>12</v>
      </c>
      <c r="L35" s="61">
        <f>776780265+305748079</f>
        <v>1082528344</v>
      </c>
      <c r="M35" s="33">
        <v>12</v>
      </c>
      <c r="N35" s="59">
        <v>151500000</v>
      </c>
      <c r="O35" s="426">
        <v>3</v>
      </c>
      <c r="P35" s="261">
        <v>0</v>
      </c>
      <c r="Q35" s="86">
        <v>3</v>
      </c>
      <c r="R35" s="170">
        <v>84900000</v>
      </c>
      <c r="S35" s="60"/>
      <c r="T35" s="61"/>
      <c r="U35" s="62"/>
      <c r="V35" s="61"/>
      <c r="W35" s="153">
        <f t="shared" si="0"/>
        <v>6</v>
      </c>
      <c r="X35" s="148">
        <f t="shared" si="1"/>
        <v>84900000</v>
      </c>
      <c r="Y35" s="38">
        <f t="shared" si="4"/>
        <v>50</v>
      </c>
      <c r="Z35" s="39">
        <f t="shared" si="4"/>
        <v>56.039603960396043</v>
      </c>
      <c r="AA35" s="338">
        <f t="shared" si="6"/>
        <v>18</v>
      </c>
      <c r="AB35" s="36">
        <f t="shared" si="2"/>
        <v>1167428344</v>
      </c>
      <c r="AC35" s="143">
        <f t="shared" si="7"/>
        <v>78.260869565217391</v>
      </c>
      <c r="AD35" s="39">
        <f t="shared" si="3"/>
        <v>58.66419859969978</v>
      </c>
      <c r="AE35" s="160" t="s">
        <v>281</v>
      </c>
      <c r="AF35" s="41"/>
      <c r="AG35" s="472"/>
      <c r="AH35" s="484"/>
      <c r="AI35" s="484"/>
    </row>
    <row r="36" spans="1:35" ht="62.25" customHeight="1" x14ac:dyDescent="0.25">
      <c r="A36" s="26"/>
      <c r="B36" s="27" t="s">
        <v>139</v>
      </c>
      <c r="C36" s="27" t="s">
        <v>73</v>
      </c>
      <c r="D36" s="27" t="s">
        <v>74</v>
      </c>
      <c r="E36" s="27" t="s">
        <v>75</v>
      </c>
      <c r="F36" s="27" t="s">
        <v>91</v>
      </c>
      <c r="G36" s="158" t="s">
        <v>22</v>
      </c>
      <c r="H36" s="288" t="s">
        <v>123</v>
      </c>
      <c r="I36" s="51">
        <v>279</v>
      </c>
      <c r="J36" s="63">
        <v>4827363621</v>
      </c>
      <c r="K36" s="347">
        <f>149+53</f>
        <v>202</v>
      </c>
      <c r="L36" s="61">
        <f>2280517795+915010716</f>
        <v>3195528511</v>
      </c>
      <c r="M36" s="92" t="s">
        <v>399</v>
      </c>
      <c r="N36" s="59">
        <v>1030500000</v>
      </c>
      <c r="O36" s="530"/>
      <c r="P36" s="261">
        <v>75032725</v>
      </c>
      <c r="Q36" s="530"/>
      <c r="R36" s="170">
        <f>473423453-75032725</f>
        <v>398390728</v>
      </c>
      <c r="S36" s="62"/>
      <c r="T36" s="61"/>
      <c r="U36" s="62"/>
      <c r="V36" s="61"/>
      <c r="W36" s="153">
        <f t="shared" si="0"/>
        <v>0</v>
      </c>
      <c r="X36" s="148">
        <f t="shared" si="1"/>
        <v>473423453</v>
      </c>
      <c r="Y36" s="38" t="e">
        <f t="shared" si="4"/>
        <v>#VALUE!</v>
      </c>
      <c r="Z36" s="39">
        <f t="shared" si="4"/>
        <v>45.941140514313439</v>
      </c>
      <c r="AA36" s="338">
        <f t="shared" si="6"/>
        <v>202</v>
      </c>
      <c r="AB36" s="36">
        <f t="shared" si="2"/>
        <v>3668951964</v>
      </c>
      <c r="AC36" s="143">
        <f t="shared" si="7"/>
        <v>72.401433691756267</v>
      </c>
      <c r="AD36" s="39">
        <f t="shared" si="3"/>
        <v>76.003223540885202</v>
      </c>
      <c r="AE36" s="160" t="s">
        <v>281</v>
      </c>
      <c r="AF36" s="41"/>
      <c r="AG36" s="472"/>
      <c r="AH36" s="484"/>
      <c r="AI36" s="484"/>
    </row>
    <row r="37" spans="1:35" ht="57" customHeight="1" x14ac:dyDescent="0.25">
      <c r="A37" s="26"/>
      <c r="B37" s="27" t="s">
        <v>139</v>
      </c>
      <c r="C37" s="27" t="s">
        <v>73</v>
      </c>
      <c r="D37" s="27" t="s">
        <v>74</v>
      </c>
      <c r="E37" s="27" t="s">
        <v>75</v>
      </c>
      <c r="F37" s="27" t="s">
        <v>92</v>
      </c>
      <c r="G37" s="158" t="s">
        <v>23</v>
      </c>
      <c r="H37" s="288" t="s">
        <v>124</v>
      </c>
      <c r="I37" s="51">
        <v>560</v>
      </c>
      <c r="J37" s="63">
        <v>979924850</v>
      </c>
      <c r="K37" s="346">
        <f>248+20</f>
        <v>268</v>
      </c>
      <c r="L37" s="61">
        <f>389984700+123525000</f>
        <v>513509700</v>
      </c>
      <c r="M37" s="33">
        <v>12</v>
      </c>
      <c r="N37" s="59">
        <v>96500000</v>
      </c>
      <c r="O37" s="424">
        <v>3</v>
      </c>
      <c r="P37" s="425">
        <v>0</v>
      </c>
      <c r="Q37" s="86"/>
      <c r="R37" s="170">
        <v>96041000</v>
      </c>
      <c r="S37" s="274"/>
      <c r="T37" s="58"/>
      <c r="U37" s="66"/>
      <c r="V37" s="58"/>
      <c r="W37" s="153">
        <f t="shared" si="0"/>
        <v>3</v>
      </c>
      <c r="X37" s="148">
        <f t="shared" si="1"/>
        <v>96041000</v>
      </c>
      <c r="Y37" s="38">
        <f t="shared" si="4"/>
        <v>25</v>
      </c>
      <c r="Z37" s="39">
        <f t="shared" si="4"/>
        <v>99.52435233160621</v>
      </c>
      <c r="AA37" s="338">
        <f t="shared" si="6"/>
        <v>271</v>
      </c>
      <c r="AB37" s="36">
        <f t="shared" si="2"/>
        <v>609550700</v>
      </c>
      <c r="AC37" s="143">
        <f t="shared" si="7"/>
        <v>48.392857142857146</v>
      </c>
      <c r="AD37" s="39">
        <f>SUM(AB37/J37)*100</f>
        <v>62.203821037909179</v>
      </c>
      <c r="AE37" s="160" t="s">
        <v>281</v>
      </c>
      <c r="AF37" s="41"/>
      <c r="AG37" s="472"/>
      <c r="AH37" s="484"/>
      <c r="AI37" s="484"/>
    </row>
    <row r="38" spans="1:35" ht="55.5" customHeight="1" x14ac:dyDescent="0.25">
      <c r="A38" s="26"/>
      <c r="B38" s="27" t="s">
        <v>139</v>
      </c>
      <c r="C38" s="27" t="s">
        <v>73</v>
      </c>
      <c r="D38" s="27" t="s">
        <v>74</v>
      </c>
      <c r="E38" s="27" t="s">
        <v>75</v>
      </c>
      <c r="F38" s="27" t="s">
        <v>170</v>
      </c>
      <c r="G38" s="28" t="s">
        <v>171</v>
      </c>
      <c r="H38" s="288" t="s">
        <v>172</v>
      </c>
      <c r="I38" s="51">
        <v>48</v>
      </c>
      <c r="J38" s="63">
        <v>232050000</v>
      </c>
      <c r="K38" s="348">
        <f>18+224</f>
        <v>242</v>
      </c>
      <c r="L38" s="67">
        <f>337444750+399587500</f>
        <v>737032250</v>
      </c>
      <c r="M38" s="33">
        <v>213</v>
      </c>
      <c r="N38" s="59">
        <v>230100000</v>
      </c>
      <c r="O38" s="528">
        <v>3</v>
      </c>
      <c r="P38" s="170">
        <v>42345000</v>
      </c>
      <c r="Q38" s="530"/>
      <c r="R38" s="170">
        <f>105722500-42345000</f>
        <v>63377500</v>
      </c>
      <c r="S38" s="276"/>
      <c r="T38" s="58"/>
      <c r="U38" s="68"/>
      <c r="V38" s="58"/>
      <c r="W38" s="153">
        <f t="shared" si="0"/>
        <v>3</v>
      </c>
      <c r="X38" s="148">
        <f>SUM(P38+R38+T38+V38)</f>
        <v>105722500</v>
      </c>
      <c r="Y38" s="38">
        <f t="shared" si="4"/>
        <v>1.4084507042253522</v>
      </c>
      <c r="Z38" s="39">
        <f t="shared" si="4"/>
        <v>45.94632768361582</v>
      </c>
      <c r="AA38" s="338">
        <f t="shared" si="6"/>
        <v>245</v>
      </c>
      <c r="AB38" s="36">
        <f t="shared" si="2"/>
        <v>842754750</v>
      </c>
      <c r="AC38" s="143">
        <f t="shared" si="7"/>
        <v>510.41666666666669</v>
      </c>
      <c r="AD38" s="39">
        <f t="shared" si="3"/>
        <v>363.17808661926307</v>
      </c>
      <c r="AE38" s="160" t="s">
        <v>281</v>
      </c>
      <c r="AF38" s="41"/>
      <c r="AG38" s="472"/>
      <c r="AH38" s="484"/>
      <c r="AI38" s="484"/>
    </row>
    <row r="39" spans="1:35" ht="27" x14ac:dyDescent="0.25">
      <c r="A39" s="26"/>
      <c r="B39" s="27" t="s">
        <v>139</v>
      </c>
      <c r="C39" s="27" t="s">
        <v>73</v>
      </c>
      <c r="D39" s="27" t="s">
        <v>74</v>
      </c>
      <c r="E39" s="27" t="s">
        <v>75</v>
      </c>
      <c r="F39" s="27">
        <v>42</v>
      </c>
      <c r="G39" s="28" t="s">
        <v>162</v>
      </c>
      <c r="H39" s="288" t="s">
        <v>125</v>
      </c>
      <c r="I39" s="51">
        <v>6</v>
      </c>
      <c r="J39" s="63">
        <v>1460187292.5</v>
      </c>
      <c r="K39" s="349">
        <v>1</v>
      </c>
      <c r="L39" s="58">
        <v>305504200</v>
      </c>
      <c r="M39" s="33">
        <v>1</v>
      </c>
      <c r="N39" s="59">
        <v>99200000</v>
      </c>
      <c r="O39" s="336">
        <v>0</v>
      </c>
      <c r="P39" s="398">
        <v>0</v>
      </c>
      <c r="Q39" s="401">
        <v>0</v>
      </c>
      <c r="R39" s="399">
        <v>0</v>
      </c>
      <c r="S39" s="274"/>
      <c r="T39" s="58"/>
      <c r="U39" s="33"/>
      <c r="V39" s="58"/>
      <c r="W39" s="153">
        <f t="shared" si="0"/>
        <v>0</v>
      </c>
      <c r="X39" s="148">
        <f t="shared" si="1"/>
        <v>0</v>
      </c>
      <c r="Y39" s="38">
        <f t="shared" si="4"/>
        <v>0</v>
      </c>
      <c r="Z39" s="39">
        <f t="shared" si="4"/>
        <v>0</v>
      </c>
      <c r="AA39" s="338">
        <f t="shared" si="6"/>
        <v>1</v>
      </c>
      <c r="AB39" s="36">
        <f t="shared" si="2"/>
        <v>305504200</v>
      </c>
      <c r="AC39" s="143">
        <f t="shared" si="7"/>
        <v>16.666666666666664</v>
      </c>
      <c r="AD39" s="39">
        <f>SUM(AB39/J39)*100</f>
        <v>20.922261244784799</v>
      </c>
      <c r="AE39" s="160" t="s">
        <v>281</v>
      </c>
      <c r="AF39" s="41"/>
      <c r="AG39" s="472"/>
      <c r="AH39" s="484"/>
      <c r="AI39" s="484"/>
    </row>
    <row r="40" spans="1:35" ht="27" x14ac:dyDescent="0.25">
      <c r="A40" s="26"/>
      <c r="B40" s="14" t="s">
        <v>139</v>
      </c>
      <c r="C40" s="14" t="s">
        <v>73</v>
      </c>
      <c r="D40" s="14" t="s">
        <v>74</v>
      </c>
      <c r="E40" s="14" t="s">
        <v>94</v>
      </c>
      <c r="F40" s="15"/>
      <c r="G40" s="161" t="s">
        <v>24</v>
      </c>
      <c r="H40" s="161" t="s">
        <v>244</v>
      </c>
      <c r="I40" s="222">
        <f>SUM(I41:I42)</f>
        <v>1240</v>
      </c>
      <c r="J40" s="183">
        <f>SUM(J41:J42)</f>
        <v>1290584560</v>
      </c>
      <c r="K40" s="222">
        <f>SUM(K41:K42)</f>
        <v>588</v>
      </c>
      <c r="L40" s="75">
        <f>SUM(L41:L42)</f>
        <v>203826000</v>
      </c>
      <c r="M40" s="222">
        <f>SUM(M41:M42)</f>
        <v>156</v>
      </c>
      <c r="N40" s="75">
        <f>N41+N42</f>
        <v>103000000</v>
      </c>
      <c r="O40" s="433">
        <v>0</v>
      </c>
      <c r="P40" s="54">
        <f>SUM(P42:P43)</f>
        <v>0</v>
      </c>
      <c r="Q40" s="434">
        <v>78</v>
      </c>
      <c r="R40" s="54">
        <v>0</v>
      </c>
      <c r="S40" s="175">
        <v>0</v>
      </c>
      <c r="T40" s="18">
        <v>0</v>
      </c>
      <c r="U40" s="76">
        <v>70</v>
      </c>
      <c r="V40" s="75">
        <f>V41+V42</f>
        <v>0</v>
      </c>
      <c r="W40" s="319">
        <f>O40+Q40</f>
        <v>78</v>
      </c>
      <c r="X40" s="320">
        <f t="shared" si="1"/>
        <v>0</v>
      </c>
      <c r="Y40" s="23">
        <f t="shared" si="4"/>
        <v>50</v>
      </c>
      <c r="Z40" s="77">
        <f t="shared" si="4"/>
        <v>0</v>
      </c>
      <c r="AA40" s="370">
        <f t="shared" si="6"/>
        <v>666</v>
      </c>
      <c r="AB40" s="18">
        <f t="shared" si="2"/>
        <v>203826000</v>
      </c>
      <c r="AC40" s="78">
        <f t="shared" si="7"/>
        <v>53.70967741935484</v>
      </c>
      <c r="AD40" s="77">
        <f t="shared" si="3"/>
        <v>15.793308421417965</v>
      </c>
      <c r="AE40" s="25" t="s">
        <v>281</v>
      </c>
      <c r="AF40" s="56"/>
      <c r="AG40" s="475"/>
      <c r="AH40" s="484"/>
      <c r="AI40" s="484"/>
    </row>
    <row r="41" spans="1:35" s="150" customFormat="1" ht="55.5" customHeight="1" x14ac:dyDescent="0.25">
      <c r="A41" s="147"/>
      <c r="B41" s="27" t="s">
        <v>139</v>
      </c>
      <c r="C41" s="27" t="s">
        <v>73</v>
      </c>
      <c r="D41" s="27" t="s">
        <v>74</v>
      </c>
      <c r="E41" s="27" t="s">
        <v>94</v>
      </c>
      <c r="F41" s="27" t="s">
        <v>75</v>
      </c>
      <c r="G41" s="158" t="s">
        <v>262</v>
      </c>
      <c r="H41" s="28" t="s">
        <v>263</v>
      </c>
      <c r="I41" s="33">
        <v>850</v>
      </c>
      <c r="J41" s="79">
        <v>860284560</v>
      </c>
      <c r="K41" s="351">
        <f>438+0</f>
        <v>438</v>
      </c>
      <c r="L41" s="148">
        <f>140231000+0</f>
        <v>140231000</v>
      </c>
      <c r="M41" s="371">
        <v>78</v>
      </c>
      <c r="N41" s="179">
        <v>71000000</v>
      </c>
      <c r="O41" s="429">
        <v>0</v>
      </c>
      <c r="P41" s="430">
        <v>0</v>
      </c>
      <c r="Q41" s="432">
        <v>0</v>
      </c>
      <c r="R41" s="430">
        <v>0</v>
      </c>
      <c r="S41" s="178"/>
      <c r="T41" s="177"/>
      <c r="U41" s="180"/>
      <c r="V41" s="179"/>
      <c r="W41" s="153">
        <f t="shared" si="0"/>
        <v>0</v>
      </c>
      <c r="X41" s="148">
        <f t="shared" si="1"/>
        <v>0</v>
      </c>
      <c r="Y41" s="38">
        <f t="shared" si="4"/>
        <v>0</v>
      </c>
      <c r="Z41" s="39">
        <f t="shared" si="4"/>
        <v>0</v>
      </c>
      <c r="AA41" s="338">
        <f t="shared" si="6"/>
        <v>438</v>
      </c>
      <c r="AB41" s="36">
        <f>SUM(L41+X41)</f>
        <v>140231000</v>
      </c>
      <c r="AC41" s="143">
        <f t="shared" si="7"/>
        <v>51.529411764705877</v>
      </c>
      <c r="AD41" s="39">
        <f>SUM(AB41/J41)*100</f>
        <v>16.300536650338117</v>
      </c>
      <c r="AE41" s="160" t="s">
        <v>281</v>
      </c>
      <c r="AF41" s="147"/>
      <c r="AG41" s="477"/>
      <c r="AH41" s="485"/>
      <c r="AI41" s="485"/>
    </row>
    <row r="42" spans="1:35" s="163" customFormat="1" ht="52.5" customHeight="1" x14ac:dyDescent="0.25">
      <c r="A42" s="162"/>
      <c r="B42" s="27" t="s">
        <v>139</v>
      </c>
      <c r="C42" s="27" t="s">
        <v>73</v>
      </c>
      <c r="D42" s="27" t="s">
        <v>74</v>
      </c>
      <c r="E42" s="27" t="s">
        <v>94</v>
      </c>
      <c r="F42" s="27" t="s">
        <v>73</v>
      </c>
      <c r="G42" s="28" t="s">
        <v>95</v>
      </c>
      <c r="H42" s="28" t="s">
        <v>181</v>
      </c>
      <c r="I42" s="33">
        <v>390</v>
      </c>
      <c r="J42" s="79">
        <v>430300000</v>
      </c>
      <c r="K42" s="343">
        <f>80+70</f>
        <v>150</v>
      </c>
      <c r="L42" s="148">
        <f>29645000+33950000</f>
        <v>63595000</v>
      </c>
      <c r="M42" s="33">
        <v>78</v>
      </c>
      <c r="N42" s="59">
        <v>32000000</v>
      </c>
      <c r="O42" s="431">
        <v>0</v>
      </c>
      <c r="P42" s="423">
        <v>0</v>
      </c>
      <c r="Q42" s="422">
        <v>78</v>
      </c>
      <c r="R42" s="282">
        <v>27650000</v>
      </c>
      <c r="S42" s="173"/>
      <c r="T42" s="32"/>
      <c r="U42" s="50"/>
      <c r="V42" s="32"/>
      <c r="W42" s="153">
        <f t="shared" si="0"/>
        <v>78</v>
      </c>
      <c r="X42" s="148">
        <f>SUM(P42+R42+T42+V42)</f>
        <v>27650000</v>
      </c>
      <c r="Y42" s="38">
        <f t="shared" si="4"/>
        <v>100</v>
      </c>
      <c r="Z42" s="39">
        <f t="shared" si="4"/>
        <v>86.40625</v>
      </c>
      <c r="AA42" s="338">
        <f t="shared" si="6"/>
        <v>228</v>
      </c>
      <c r="AB42" s="36">
        <f t="shared" si="2"/>
        <v>91245000</v>
      </c>
      <c r="AC42" s="143">
        <f t="shared" si="7"/>
        <v>58.461538461538467</v>
      </c>
      <c r="AD42" s="39">
        <f t="shared" si="3"/>
        <v>21.204973274459679</v>
      </c>
      <c r="AE42" s="160" t="s">
        <v>281</v>
      </c>
      <c r="AF42" s="65"/>
      <c r="AG42" s="478"/>
      <c r="AH42" s="486"/>
      <c r="AI42" s="486"/>
    </row>
    <row r="43" spans="1:35" ht="30.75" hidden="1" customHeight="1" x14ac:dyDescent="0.25">
      <c r="A43" s="26"/>
      <c r="B43" s="27"/>
      <c r="C43" s="27"/>
      <c r="D43" s="27" t="s">
        <v>74</v>
      </c>
      <c r="E43" s="27" t="s">
        <v>94</v>
      </c>
      <c r="F43" s="27" t="s">
        <v>96</v>
      </c>
      <c r="G43" s="28" t="s">
        <v>182</v>
      </c>
      <c r="H43" s="248" t="s">
        <v>251</v>
      </c>
      <c r="I43" s="51" t="s">
        <v>183</v>
      </c>
      <c r="J43" s="79">
        <v>430300000</v>
      </c>
      <c r="K43" s="352" t="s">
        <v>104</v>
      </c>
      <c r="L43" s="239" t="s">
        <v>104</v>
      </c>
      <c r="M43" s="331" t="s">
        <v>104</v>
      </c>
      <c r="N43" s="253" t="s">
        <v>104</v>
      </c>
      <c r="O43" s="171" t="s">
        <v>104</v>
      </c>
      <c r="P43" s="403">
        <v>0</v>
      </c>
      <c r="Q43" s="390"/>
      <c r="R43" s="397"/>
      <c r="S43" s="42"/>
      <c r="T43" s="36"/>
      <c r="U43" s="36"/>
      <c r="V43" s="36"/>
      <c r="W43" s="238" t="s">
        <v>104</v>
      </c>
      <c r="X43" s="236" t="s">
        <v>104</v>
      </c>
      <c r="Y43" s="80">
        <v>0</v>
      </c>
      <c r="Z43" s="159">
        <v>0</v>
      </c>
      <c r="AA43" s="45" t="s">
        <v>104</v>
      </c>
      <c r="AB43" s="36" t="s">
        <v>104</v>
      </c>
      <c r="AC43" s="80" t="s">
        <v>104</v>
      </c>
      <c r="AD43" s="39" t="s">
        <v>104</v>
      </c>
      <c r="AE43" s="25" t="s">
        <v>104</v>
      </c>
      <c r="AF43" s="81"/>
      <c r="AG43" s="479"/>
      <c r="AH43" s="484"/>
      <c r="AI43" s="484"/>
    </row>
    <row r="44" spans="1:35" ht="76.5" customHeight="1" x14ac:dyDescent="0.25">
      <c r="A44" s="26"/>
      <c r="B44" s="14" t="s">
        <v>139</v>
      </c>
      <c r="C44" s="14" t="s">
        <v>73</v>
      </c>
      <c r="D44" s="14" t="s">
        <v>74</v>
      </c>
      <c r="E44" s="14" t="s">
        <v>73</v>
      </c>
      <c r="F44" s="15"/>
      <c r="G44" s="161" t="s">
        <v>25</v>
      </c>
      <c r="H44" s="161" t="s">
        <v>265</v>
      </c>
      <c r="I44" s="223">
        <v>103</v>
      </c>
      <c r="J44" s="184">
        <f>SUM(J45:J46)</f>
        <v>4745616332</v>
      </c>
      <c r="K44" s="372">
        <v>57</v>
      </c>
      <c r="L44" s="82">
        <v>1327920970</v>
      </c>
      <c r="M44" s="53">
        <f>M45+M46</f>
        <v>8</v>
      </c>
      <c r="N44" s="82">
        <f>SUM(N45:N46)</f>
        <v>102870000</v>
      </c>
      <c r="O44" s="82">
        <f>SUM(O45:O46)</f>
        <v>0</v>
      </c>
      <c r="P44" s="82">
        <f>SUM(P45:P46)</f>
        <v>0</v>
      </c>
      <c r="Q44" s="82">
        <f>SUM(Q45:Q46)</f>
        <v>1</v>
      </c>
      <c r="R44" s="82">
        <f>SUM(R45:R46)</f>
        <v>49280000</v>
      </c>
      <c r="S44" s="83">
        <v>0</v>
      </c>
      <c r="T44" s="18">
        <f>SUM(T45:T46)</f>
        <v>0</v>
      </c>
      <c r="U44" s="83">
        <v>0</v>
      </c>
      <c r="V44" s="82">
        <f>SUM(V45:V46)</f>
        <v>0</v>
      </c>
      <c r="W44" s="319">
        <f t="shared" si="0"/>
        <v>1</v>
      </c>
      <c r="X44" s="320">
        <f t="shared" si="1"/>
        <v>49280000</v>
      </c>
      <c r="Y44" s="368">
        <f t="shared" si="4"/>
        <v>12.5</v>
      </c>
      <c r="Z44" s="322">
        <f t="shared" si="4"/>
        <v>47.905122970739768</v>
      </c>
      <c r="AA44" s="339">
        <f t="shared" si="6"/>
        <v>58</v>
      </c>
      <c r="AB44" s="320">
        <f t="shared" si="2"/>
        <v>1377200970</v>
      </c>
      <c r="AC44" s="369">
        <f t="shared" si="7"/>
        <v>56.310679611650485</v>
      </c>
      <c r="AD44" s="322">
        <f t="shared" si="3"/>
        <v>29.020486985293019</v>
      </c>
      <c r="AE44" s="25" t="s">
        <v>281</v>
      </c>
      <c r="AF44" s="26"/>
      <c r="AG44" s="480"/>
      <c r="AH44" s="484"/>
      <c r="AI44" s="484"/>
    </row>
    <row r="45" spans="1:35" ht="75" customHeight="1" x14ac:dyDescent="0.25">
      <c r="A45" s="26"/>
      <c r="B45" s="27" t="s">
        <v>139</v>
      </c>
      <c r="C45" s="27" t="s">
        <v>73</v>
      </c>
      <c r="D45" s="27" t="s">
        <v>74</v>
      </c>
      <c r="E45" s="27" t="s">
        <v>73</v>
      </c>
      <c r="F45" s="27" t="s">
        <v>94</v>
      </c>
      <c r="G45" s="28" t="s">
        <v>26</v>
      </c>
      <c r="H45" s="28" t="s">
        <v>126</v>
      </c>
      <c r="I45" s="531">
        <v>88</v>
      </c>
      <c r="J45" s="79">
        <v>2136785000</v>
      </c>
      <c r="K45" s="346">
        <f>49+3</f>
        <v>52</v>
      </c>
      <c r="L45" s="148">
        <f>606970996+26790000</f>
        <v>633760996</v>
      </c>
      <c r="M45" s="33">
        <v>7</v>
      </c>
      <c r="N45" s="59">
        <v>37300000</v>
      </c>
      <c r="O45" s="431">
        <v>0</v>
      </c>
      <c r="P45" s="282">
        <v>0</v>
      </c>
      <c r="Q45" s="527"/>
      <c r="R45" s="282">
        <v>12500000</v>
      </c>
      <c r="S45" s="35"/>
      <c r="T45" s="36"/>
      <c r="U45" s="36"/>
      <c r="V45" s="36"/>
      <c r="W45" s="153">
        <f>O45+Q45+S45+U45</f>
        <v>0</v>
      </c>
      <c r="X45" s="148">
        <f t="shared" si="1"/>
        <v>12500000</v>
      </c>
      <c r="Y45" s="38">
        <f t="shared" si="4"/>
        <v>0</v>
      </c>
      <c r="Z45" s="39">
        <f t="shared" si="4"/>
        <v>33.512064343163537</v>
      </c>
      <c r="AA45" s="338">
        <f t="shared" si="6"/>
        <v>52</v>
      </c>
      <c r="AB45" s="36">
        <f t="shared" si="2"/>
        <v>646260996</v>
      </c>
      <c r="AC45" s="143">
        <f t="shared" si="7"/>
        <v>59.090909090909093</v>
      </c>
      <c r="AD45" s="39">
        <f t="shared" si="3"/>
        <v>30.244549451629432</v>
      </c>
      <c r="AE45" s="160" t="s">
        <v>281</v>
      </c>
      <c r="AF45" s="41"/>
      <c r="AG45" s="472"/>
      <c r="AH45" s="484"/>
      <c r="AI45" s="484"/>
    </row>
    <row r="46" spans="1:35" ht="54" customHeight="1" x14ac:dyDescent="0.25">
      <c r="A46" s="26"/>
      <c r="B46" s="27" t="s">
        <v>139</v>
      </c>
      <c r="C46" s="27" t="s">
        <v>73</v>
      </c>
      <c r="D46" s="27" t="s">
        <v>74</v>
      </c>
      <c r="E46" s="27" t="s">
        <v>73</v>
      </c>
      <c r="F46" s="27" t="s">
        <v>96</v>
      </c>
      <c r="G46" s="28" t="s">
        <v>27</v>
      </c>
      <c r="H46" s="28" t="s">
        <v>127</v>
      </c>
      <c r="I46" s="51">
        <v>15</v>
      </c>
      <c r="J46" s="79">
        <v>2608831332</v>
      </c>
      <c r="K46" s="346">
        <f>8+2</f>
        <v>10</v>
      </c>
      <c r="L46" s="148">
        <f>720949974+328601500</f>
        <v>1049551474</v>
      </c>
      <c r="M46" s="33">
        <v>1</v>
      </c>
      <c r="N46" s="59">
        <v>65570000</v>
      </c>
      <c r="O46" s="431">
        <v>0</v>
      </c>
      <c r="P46" s="423">
        <v>0</v>
      </c>
      <c r="Q46" s="422">
        <v>1</v>
      </c>
      <c r="R46" s="282">
        <v>36780000</v>
      </c>
      <c r="S46" s="172"/>
      <c r="T46" s="148"/>
      <c r="U46" s="154"/>
      <c r="V46" s="148"/>
      <c r="W46" s="153">
        <f>O46+Q46+S46+U46</f>
        <v>1</v>
      </c>
      <c r="X46" s="148">
        <f t="shared" si="1"/>
        <v>36780000</v>
      </c>
      <c r="Y46" s="38">
        <f t="shared" si="4"/>
        <v>100</v>
      </c>
      <c r="Z46" s="39">
        <f t="shared" si="4"/>
        <v>56.092725331706575</v>
      </c>
      <c r="AA46" s="338">
        <f t="shared" si="6"/>
        <v>11</v>
      </c>
      <c r="AB46" s="36">
        <f t="shared" si="2"/>
        <v>1086331474</v>
      </c>
      <c r="AC46" s="143">
        <f t="shared" si="7"/>
        <v>73.333333333333329</v>
      </c>
      <c r="AD46" s="39">
        <f t="shared" si="3"/>
        <v>41.640540753824403</v>
      </c>
      <c r="AE46" s="160" t="s">
        <v>281</v>
      </c>
      <c r="AF46" s="29"/>
      <c r="AG46" s="472"/>
      <c r="AH46" s="484"/>
      <c r="AI46" s="484"/>
    </row>
    <row r="47" spans="1:35" s="287" customFormat="1" ht="114" customHeight="1" x14ac:dyDescent="0.25">
      <c r="A47" s="56"/>
      <c r="B47" s="84" t="s">
        <v>139</v>
      </c>
      <c r="C47" s="84" t="s">
        <v>73</v>
      </c>
      <c r="D47" s="14" t="s">
        <v>74</v>
      </c>
      <c r="E47" s="84" t="s">
        <v>76</v>
      </c>
      <c r="F47" s="85"/>
      <c r="G47" s="161" t="s">
        <v>28</v>
      </c>
      <c r="H47" s="286" t="s">
        <v>266</v>
      </c>
      <c r="I47" s="373">
        <f>SUM(I48:I54)</f>
        <v>126</v>
      </c>
      <c r="J47" s="156">
        <f>SUM(J48:J54)</f>
        <v>11196305756</v>
      </c>
      <c r="K47" s="350">
        <f>SUM(K48:K54)</f>
        <v>74</v>
      </c>
      <c r="L47" s="82">
        <v>3608754211</v>
      </c>
      <c r="M47" s="53">
        <v>187</v>
      </c>
      <c r="N47" s="82">
        <f>SUM(N48:N54)</f>
        <v>1310058427</v>
      </c>
      <c r="O47" s="82">
        <f t="shared" ref="O47:R47" si="11">SUM(O48:O54)</f>
        <v>0</v>
      </c>
      <c r="P47" s="82">
        <f t="shared" si="11"/>
        <v>65727000</v>
      </c>
      <c r="Q47" s="82">
        <f t="shared" si="11"/>
        <v>0</v>
      </c>
      <c r="R47" s="82">
        <f t="shared" si="11"/>
        <v>0</v>
      </c>
      <c r="S47" s="83">
        <v>5</v>
      </c>
      <c r="T47" s="18">
        <f>SUM(T48+T49+T51+T52+T54)</f>
        <v>0</v>
      </c>
      <c r="U47" s="182">
        <v>17</v>
      </c>
      <c r="V47" s="18">
        <f>SUM(V48+V49+V51+V52+V54)</f>
        <v>0</v>
      </c>
      <c r="W47" s="20">
        <f t="shared" si="0"/>
        <v>22</v>
      </c>
      <c r="X47" s="18">
        <f t="shared" si="1"/>
        <v>65727000</v>
      </c>
      <c r="Y47" s="23">
        <f>SUM(W47/M47*100)</f>
        <v>11.76470588235294</v>
      </c>
      <c r="Z47" s="77">
        <f t="shared" si="4"/>
        <v>5.0171044775852582</v>
      </c>
      <c r="AA47" s="370">
        <f t="shared" si="6"/>
        <v>96</v>
      </c>
      <c r="AB47" s="18">
        <f t="shared" si="2"/>
        <v>3674481211</v>
      </c>
      <c r="AC47" s="78">
        <f t="shared" si="7"/>
        <v>76.19047619047619</v>
      </c>
      <c r="AD47" s="77">
        <f t="shared" si="3"/>
        <v>32.81869297853784</v>
      </c>
      <c r="AE47" s="25" t="s">
        <v>281</v>
      </c>
      <c r="AF47" s="56"/>
      <c r="AG47" s="475"/>
      <c r="AH47" s="487"/>
      <c r="AI47" s="487"/>
    </row>
    <row r="48" spans="1:35" ht="191.25" customHeight="1" x14ac:dyDescent="0.25">
      <c r="A48" s="26"/>
      <c r="B48" s="27" t="s">
        <v>139</v>
      </c>
      <c r="C48" s="27" t="s">
        <v>73</v>
      </c>
      <c r="D48" s="27" t="s">
        <v>74</v>
      </c>
      <c r="E48" s="27" t="s">
        <v>76</v>
      </c>
      <c r="F48" s="27" t="s">
        <v>74</v>
      </c>
      <c r="G48" s="28" t="s">
        <v>29</v>
      </c>
      <c r="H48" s="288" t="s">
        <v>259</v>
      </c>
      <c r="I48" s="51">
        <v>52</v>
      </c>
      <c r="J48" s="63">
        <v>4118866766</v>
      </c>
      <c r="K48" s="346">
        <f>30+7</f>
        <v>37</v>
      </c>
      <c r="L48" s="61">
        <f>1675949350+484401825</f>
        <v>2160351175</v>
      </c>
      <c r="M48" s="33">
        <v>6</v>
      </c>
      <c r="N48" s="59">
        <v>496093427</v>
      </c>
      <c r="O48" s="435">
        <v>0</v>
      </c>
      <c r="P48" s="170">
        <v>0</v>
      </c>
      <c r="Q48" s="86"/>
      <c r="R48" s="170"/>
      <c r="S48" s="72"/>
      <c r="T48" s="69"/>
      <c r="U48" s="72"/>
      <c r="V48" s="69"/>
      <c r="W48" s="153">
        <f t="shared" si="0"/>
        <v>0</v>
      </c>
      <c r="X48" s="148">
        <f t="shared" si="1"/>
        <v>0</v>
      </c>
      <c r="Y48" s="38">
        <f t="shared" si="4"/>
        <v>0</v>
      </c>
      <c r="Z48" s="39">
        <f t="shared" si="4"/>
        <v>0</v>
      </c>
      <c r="AA48" s="338">
        <f t="shared" si="6"/>
        <v>37</v>
      </c>
      <c r="AB48" s="36">
        <f t="shared" si="2"/>
        <v>2160351175</v>
      </c>
      <c r="AC48" s="143">
        <f t="shared" si="7"/>
        <v>71.15384615384616</v>
      </c>
      <c r="AD48" s="39">
        <f t="shared" si="3"/>
        <v>52.450134897128642</v>
      </c>
      <c r="AE48" s="160" t="s">
        <v>281</v>
      </c>
      <c r="AF48" s="87"/>
      <c r="AG48" s="472"/>
      <c r="AH48" s="484"/>
      <c r="AI48" s="484"/>
    </row>
    <row r="49" spans="1:35" ht="56.25" customHeight="1" x14ac:dyDescent="0.25">
      <c r="A49" s="26"/>
      <c r="B49" s="27" t="s">
        <v>139</v>
      </c>
      <c r="C49" s="27" t="s">
        <v>73</v>
      </c>
      <c r="D49" s="27" t="s">
        <v>74</v>
      </c>
      <c r="E49" s="27" t="s">
        <v>76</v>
      </c>
      <c r="F49" s="27" t="s">
        <v>94</v>
      </c>
      <c r="G49" s="28" t="s">
        <v>30</v>
      </c>
      <c r="H49" s="498" t="s">
        <v>128</v>
      </c>
      <c r="I49" s="51">
        <v>5</v>
      </c>
      <c r="J49" s="57">
        <v>880508047.5</v>
      </c>
      <c r="K49" s="346">
        <f>2+2</f>
        <v>4</v>
      </c>
      <c r="L49" s="61">
        <f>354776490+87312000</f>
        <v>442088490</v>
      </c>
      <c r="M49" s="33">
        <v>1</v>
      </c>
      <c r="N49" s="59">
        <v>131070000</v>
      </c>
      <c r="O49" s="428">
        <v>0</v>
      </c>
      <c r="P49" s="425">
        <v>0</v>
      </c>
      <c r="Q49" s="86"/>
      <c r="R49" s="425"/>
      <c r="S49" s="70"/>
      <c r="T49" s="69"/>
      <c r="U49" s="88"/>
      <c r="V49" s="69"/>
      <c r="W49" s="153">
        <f t="shared" si="0"/>
        <v>0</v>
      </c>
      <c r="X49" s="148">
        <f t="shared" si="1"/>
        <v>0</v>
      </c>
      <c r="Y49" s="38">
        <f t="shared" si="4"/>
        <v>0</v>
      </c>
      <c r="Z49" s="39">
        <f t="shared" si="4"/>
        <v>0</v>
      </c>
      <c r="AA49" s="338">
        <f t="shared" si="6"/>
        <v>4</v>
      </c>
      <c r="AB49" s="36">
        <f t="shared" si="2"/>
        <v>442088490</v>
      </c>
      <c r="AC49" s="143">
        <f t="shared" si="7"/>
        <v>80</v>
      </c>
      <c r="AD49" s="39">
        <f t="shared" si="3"/>
        <v>50.208341792583099</v>
      </c>
      <c r="AE49" s="160" t="s">
        <v>281</v>
      </c>
      <c r="AF49" s="41"/>
      <c r="AG49" s="472"/>
      <c r="AH49" s="484"/>
      <c r="AI49" s="484"/>
    </row>
    <row r="50" spans="1:35" ht="94.5" x14ac:dyDescent="0.25">
      <c r="A50" s="26"/>
      <c r="B50" s="27" t="s">
        <v>274</v>
      </c>
      <c r="C50" s="27" t="s">
        <v>73</v>
      </c>
      <c r="D50" s="27" t="s">
        <v>74</v>
      </c>
      <c r="E50" s="27" t="s">
        <v>76</v>
      </c>
      <c r="F50" s="27" t="s">
        <v>96</v>
      </c>
      <c r="G50" s="28" t="s">
        <v>275</v>
      </c>
      <c r="H50" s="288" t="s">
        <v>276</v>
      </c>
      <c r="I50" s="51">
        <v>20</v>
      </c>
      <c r="J50" s="57">
        <v>387000000</v>
      </c>
      <c r="K50" s="346">
        <f>0+10</f>
        <v>10</v>
      </c>
      <c r="L50" s="61">
        <f>0+253367000</f>
        <v>253367000</v>
      </c>
      <c r="M50" s="33">
        <v>20</v>
      </c>
      <c r="N50" s="59">
        <v>168774000</v>
      </c>
      <c r="O50" s="428"/>
      <c r="P50" s="425">
        <v>18502000</v>
      </c>
      <c r="Q50" s="86"/>
      <c r="R50" s="425"/>
      <c r="S50" s="70"/>
      <c r="T50" s="69"/>
      <c r="U50" s="88"/>
      <c r="V50" s="69"/>
      <c r="W50" s="153">
        <f t="shared" si="0"/>
        <v>0</v>
      </c>
      <c r="X50" s="148">
        <f t="shared" si="1"/>
        <v>18502000</v>
      </c>
      <c r="Y50" s="38">
        <f t="shared" si="4"/>
        <v>0</v>
      </c>
      <c r="Z50" s="39">
        <f t="shared" si="4"/>
        <v>10.962589024375792</v>
      </c>
      <c r="AA50" s="374">
        <f>SUM(K50+W50)</f>
        <v>10</v>
      </c>
      <c r="AB50" s="36">
        <f t="shared" si="2"/>
        <v>271869000</v>
      </c>
      <c r="AC50" s="143">
        <f t="shared" si="7"/>
        <v>50</v>
      </c>
      <c r="AD50" s="39">
        <f t="shared" si="3"/>
        <v>70.250387596899216</v>
      </c>
      <c r="AE50" s="160" t="s">
        <v>281</v>
      </c>
      <c r="AF50" s="41"/>
      <c r="AG50" s="472"/>
      <c r="AH50" s="484"/>
      <c r="AI50" s="484"/>
    </row>
    <row r="51" spans="1:35" ht="81" x14ac:dyDescent="0.25">
      <c r="A51" s="26"/>
      <c r="B51" s="27" t="s">
        <v>139</v>
      </c>
      <c r="C51" s="27" t="s">
        <v>73</v>
      </c>
      <c r="D51" s="27" t="s">
        <v>74</v>
      </c>
      <c r="E51" s="27" t="s">
        <v>76</v>
      </c>
      <c r="F51" s="27" t="s">
        <v>88</v>
      </c>
      <c r="G51" s="28" t="s">
        <v>31</v>
      </c>
      <c r="H51" s="288" t="s">
        <v>277</v>
      </c>
      <c r="I51" s="51">
        <v>32</v>
      </c>
      <c r="J51" s="89">
        <v>1859125052</v>
      </c>
      <c r="K51" s="346">
        <f>2+8</f>
        <v>10</v>
      </c>
      <c r="L51" s="61">
        <f>354776490+73774500</f>
        <v>428550990</v>
      </c>
      <c r="M51" s="33">
        <v>20</v>
      </c>
      <c r="N51" s="59">
        <v>142716000</v>
      </c>
      <c r="O51" s="435">
        <v>0</v>
      </c>
      <c r="P51" s="170">
        <v>0</v>
      </c>
      <c r="Q51" s="170"/>
      <c r="R51" s="170"/>
      <c r="S51" s="70"/>
      <c r="T51" s="69"/>
      <c r="U51" s="69"/>
      <c r="V51" s="69"/>
      <c r="W51" s="153">
        <f t="shared" si="0"/>
        <v>0</v>
      </c>
      <c r="X51" s="148">
        <f t="shared" si="1"/>
        <v>0</v>
      </c>
      <c r="Y51" s="38">
        <f t="shared" si="4"/>
        <v>0</v>
      </c>
      <c r="Z51" s="39">
        <f t="shared" si="4"/>
        <v>0</v>
      </c>
      <c r="AA51" s="338">
        <f t="shared" si="6"/>
        <v>10</v>
      </c>
      <c r="AB51" s="36">
        <f t="shared" si="2"/>
        <v>428550990</v>
      </c>
      <c r="AC51" s="143">
        <f t="shared" si="7"/>
        <v>31.25</v>
      </c>
      <c r="AD51" s="39">
        <f t="shared" si="3"/>
        <v>23.051219149512058</v>
      </c>
      <c r="AE51" s="160" t="s">
        <v>281</v>
      </c>
      <c r="AF51" s="90"/>
      <c r="AG51" s="472"/>
      <c r="AH51" s="484"/>
      <c r="AI51" s="484"/>
    </row>
    <row r="52" spans="1:35" ht="56.25" customHeight="1" x14ac:dyDescent="0.25">
      <c r="A52" s="26"/>
      <c r="B52" s="27" t="s">
        <v>139</v>
      </c>
      <c r="C52" s="27" t="s">
        <v>73</v>
      </c>
      <c r="D52" s="27" t="s">
        <v>74</v>
      </c>
      <c r="E52" s="27" t="s">
        <v>76</v>
      </c>
      <c r="F52" s="27" t="s">
        <v>77</v>
      </c>
      <c r="G52" s="49" t="s">
        <v>33</v>
      </c>
      <c r="H52" s="288" t="s">
        <v>32</v>
      </c>
      <c r="I52" s="51">
        <v>5</v>
      </c>
      <c r="J52" s="89">
        <v>2517010628</v>
      </c>
      <c r="K52" s="346">
        <f>3+1</f>
        <v>4</v>
      </c>
      <c r="L52" s="148">
        <f>699563200+233420700</f>
        <v>932983900</v>
      </c>
      <c r="M52" s="33">
        <v>20</v>
      </c>
      <c r="N52" s="59">
        <v>138060000</v>
      </c>
      <c r="O52" s="431"/>
      <c r="P52" s="282">
        <v>5250000</v>
      </c>
      <c r="Q52" s="422"/>
      <c r="R52" s="282"/>
      <c r="S52" s="46"/>
      <c r="T52" s="36"/>
      <c r="U52" s="36"/>
      <c r="V52" s="36"/>
      <c r="W52" s="153">
        <f t="shared" si="0"/>
        <v>0</v>
      </c>
      <c r="X52" s="148">
        <f t="shared" si="1"/>
        <v>5250000</v>
      </c>
      <c r="Y52" s="38">
        <f t="shared" si="4"/>
        <v>0</v>
      </c>
      <c r="Z52" s="39">
        <f t="shared" si="4"/>
        <v>3.8026944806605822</v>
      </c>
      <c r="AA52" s="338">
        <f t="shared" si="6"/>
        <v>4</v>
      </c>
      <c r="AB52" s="36">
        <f t="shared" si="2"/>
        <v>938233900</v>
      </c>
      <c r="AC52" s="143">
        <f t="shared" si="7"/>
        <v>80</v>
      </c>
      <c r="AD52" s="39">
        <f t="shared" si="3"/>
        <v>37.275722619634486</v>
      </c>
      <c r="AE52" s="160" t="s">
        <v>281</v>
      </c>
      <c r="AF52" s="91"/>
      <c r="AG52" s="472"/>
      <c r="AH52" s="484"/>
      <c r="AI52" s="484"/>
    </row>
    <row r="53" spans="1:35" s="163" customFormat="1" ht="54.75" customHeight="1" x14ac:dyDescent="0.25">
      <c r="A53" s="162"/>
      <c r="B53" s="27" t="s">
        <v>139</v>
      </c>
      <c r="C53" s="27" t="s">
        <v>73</v>
      </c>
      <c r="D53" s="27" t="s">
        <v>74</v>
      </c>
      <c r="E53" s="27" t="s">
        <v>76</v>
      </c>
      <c r="F53" s="27" t="s">
        <v>89</v>
      </c>
      <c r="G53" s="49" t="s">
        <v>35</v>
      </c>
      <c r="H53" s="288" t="s">
        <v>34</v>
      </c>
      <c r="I53" s="33">
        <v>4</v>
      </c>
      <c r="J53" s="289">
        <v>311220000</v>
      </c>
      <c r="K53" s="353">
        <f>2+1</f>
        <v>3</v>
      </c>
      <c r="L53" s="58">
        <f>93096000+19989000</f>
        <v>113085000</v>
      </c>
      <c r="M53" s="92" t="s">
        <v>85</v>
      </c>
      <c r="N53" s="289">
        <v>102020000</v>
      </c>
      <c r="O53" s="424">
        <v>0</v>
      </c>
      <c r="P53" s="425">
        <v>0</v>
      </c>
      <c r="Q53" s="424"/>
      <c r="R53" s="425"/>
      <c r="S53" s="276"/>
      <c r="T53" s="58"/>
      <c r="U53" s="58"/>
      <c r="V53" s="58"/>
      <c r="W53" s="153">
        <f t="shared" si="0"/>
        <v>0</v>
      </c>
      <c r="X53" s="148">
        <f t="shared" si="1"/>
        <v>0</v>
      </c>
      <c r="Y53" s="38">
        <f t="shared" si="4"/>
        <v>0</v>
      </c>
      <c r="Z53" s="39">
        <f t="shared" si="4"/>
        <v>0</v>
      </c>
      <c r="AA53" s="338">
        <f t="shared" si="6"/>
        <v>3</v>
      </c>
      <c r="AB53" s="36">
        <f t="shared" si="2"/>
        <v>113085000</v>
      </c>
      <c r="AC53" s="143">
        <f t="shared" si="7"/>
        <v>75</v>
      </c>
      <c r="AD53" s="39">
        <f t="shared" si="3"/>
        <v>36.336032388663966</v>
      </c>
      <c r="AE53" s="160" t="s">
        <v>281</v>
      </c>
      <c r="AF53" s="65"/>
      <c r="AG53" s="478"/>
      <c r="AH53" s="486"/>
      <c r="AI53" s="486"/>
    </row>
    <row r="54" spans="1:35" ht="40.5" x14ac:dyDescent="0.25">
      <c r="A54" s="26"/>
      <c r="B54" s="27" t="s">
        <v>139</v>
      </c>
      <c r="C54" s="27" t="s">
        <v>73</v>
      </c>
      <c r="D54" s="27" t="s">
        <v>74</v>
      </c>
      <c r="E54" s="27" t="s">
        <v>76</v>
      </c>
      <c r="F54" s="27" t="s">
        <v>78</v>
      </c>
      <c r="G54" s="28" t="s">
        <v>97</v>
      </c>
      <c r="H54" s="288" t="s">
        <v>129</v>
      </c>
      <c r="I54" s="51">
        <v>8</v>
      </c>
      <c r="J54" s="57">
        <v>1122575262.5</v>
      </c>
      <c r="K54" s="346">
        <f>4+2</f>
        <v>6</v>
      </c>
      <c r="L54" s="148">
        <f>373566421+85914200</f>
        <v>459480621</v>
      </c>
      <c r="M54" s="33">
        <v>20</v>
      </c>
      <c r="N54" s="59">
        <v>131325000</v>
      </c>
      <c r="O54" s="436"/>
      <c r="P54" s="282">
        <v>41975000</v>
      </c>
      <c r="Q54" s="422"/>
      <c r="R54" s="282"/>
      <c r="S54" s="42"/>
      <c r="T54" s="36"/>
      <c r="U54" s="36"/>
      <c r="V54" s="36"/>
      <c r="W54" s="153">
        <f t="shared" si="0"/>
        <v>0</v>
      </c>
      <c r="X54" s="148">
        <f t="shared" si="1"/>
        <v>41975000</v>
      </c>
      <c r="Y54" s="38">
        <f t="shared" si="4"/>
        <v>0</v>
      </c>
      <c r="Z54" s="39">
        <f t="shared" si="4"/>
        <v>31.962687987816484</v>
      </c>
      <c r="AA54" s="338">
        <f t="shared" si="6"/>
        <v>6</v>
      </c>
      <c r="AB54" s="36">
        <f t="shared" si="2"/>
        <v>501455621</v>
      </c>
      <c r="AC54" s="143">
        <f t="shared" si="7"/>
        <v>75</v>
      </c>
      <c r="AD54" s="39">
        <f t="shared" si="3"/>
        <v>44.670111461680278</v>
      </c>
      <c r="AE54" s="160" t="s">
        <v>281</v>
      </c>
      <c r="AF54" s="90"/>
      <c r="AG54" s="472"/>
      <c r="AH54" s="484"/>
      <c r="AI54" s="484"/>
    </row>
    <row r="55" spans="1:35" ht="41.25" customHeight="1" x14ac:dyDescent="0.25">
      <c r="A55" s="445"/>
      <c r="B55" s="27" t="s">
        <v>274</v>
      </c>
      <c r="C55" s="27" t="s">
        <v>73</v>
      </c>
      <c r="D55" s="27" t="s">
        <v>74</v>
      </c>
      <c r="E55" s="27" t="s">
        <v>76</v>
      </c>
      <c r="F55" s="27" t="s">
        <v>80</v>
      </c>
      <c r="G55" s="446" t="s">
        <v>299</v>
      </c>
      <c r="H55" s="447" t="s">
        <v>300</v>
      </c>
      <c r="I55" s="448">
        <v>15</v>
      </c>
      <c r="J55" s="449">
        <v>83040000</v>
      </c>
      <c r="K55" s="450">
        <f>0+3</f>
        <v>3</v>
      </c>
      <c r="L55" s="451">
        <f>0+12810000</f>
        <v>12810000</v>
      </c>
      <c r="M55" s="452">
        <v>20</v>
      </c>
      <c r="N55" s="453">
        <v>48040000</v>
      </c>
      <c r="O55" s="454">
        <v>0</v>
      </c>
      <c r="P55" s="455">
        <v>0</v>
      </c>
      <c r="Q55" s="456"/>
      <c r="R55" s="455"/>
      <c r="S55" s="457"/>
      <c r="T55" s="458"/>
      <c r="U55" s="458"/>
      <c r="V55" s="458"/>
      <c r="W55" s="153">
        <f t="shared" ref="W55" si="12">O55+Q55+S55+U55</f>
        <v>0</v>
      </c>
      <c r="X55" s="148">
        <f t="shared" ref="X55" si="13">SUM(P55+R55+T55+V55)</f>
        <v>0</v>
      </c>
      <c r="Y55" s="38">
        <f t="shared" ref="Y55" si="14">SUM(W55/M55*100)</f>
        <v>0</v>
      </c>
      <c r="Z55" s="39">
        <f t="shared" ref="Z55" si="15">SUM(X55/N55*100)</f>
        <v>0</v>
      </c>
      <c r="AA55" s="338">
        <f t="shared" ref="AA55" si="16">SUM(K55+W55)</f>
        <v>3</v>
      </c>
      <c r="AB55" s="36">
        <f t="shared" ref="AB55" si="17">SUM(L55+X55)</f>
        <v>12810000</v>
      </c>
      <c r="AC55" s="143">
        <f t="shared" ref="AC55" si="18">SUM(AA55/I55*100)</f>
        <v>20</v>
      </c>
      <c r="AD55" s="39">
        <f t="shared" ref="AD55" si="19">SUM(AB55/J55)*100</f>
        <v>15.426300578034683</v>
      </c>
      <c r="AE55" s="160" t="s">
        <v>281</v>
      </c>
      <c r="AF55" s="90"/>
      <c r="AG55" s="472"/>
      <c r="AH55" s="484"/>
      <c r="AI55" s="484"/>
    </row>
    <row r="56" spans="1:35" s="287" customFormat="1" ht="40.5" customHeight="1" x14ac:dyDescent="0.25">
      <c r="A56" s="290"/>
      <c r="B56" s="196" t="s">
        <v>139</v>
      </c>
      <c r="C56" s="197" t="s">
        <v>73</v>
      </c>
      <c r="D56" s="197" t="s">
        <v>74</v>
      </c>
      <c r="E56" s="197" t="s">
        <v>83</v>
      </c>
      <c r="F56" s="197"/>
      <c r="G56" s="551" t="s">
        <v>36</v>
      </c>
      <c r="H56" s="291" t="s">
        <v>267</v>
      </c>
      <c r="I56" s="198">
        <v>3</v>
      </c>
      <c r="J56" s="199">
        <f>SUM(J62:J118)</f>
        <v>111610171702</v>
      </c>
      <c r="K56" s="354">
        <v>2</v>
      </c>
      <c r="L56" s="200">
        <v>34728924666</v>
      </c>
      <c r="M56" s="198">
        <v>1</v>
      </c>
      <c r="N56" s="292">
        <f>SUM(N62:N121)</f>
        <v>12392354744</v>
      </c>
      <c r="O56" s="266"/>
      <c r="P56" s="292">
        <f>SUM(P62:P121)</f>
        <v>997282771</v>
      </c>
      <c r="Q56" s="266"/>
      <c r="R56" s="292">
        <f>SUM(R62:R121)</f>
        <v>0</v>
      </c>
      <c r="S56" s="201"/>
      <c r="T56" s="200">
        <f>SUM(T62:T118)</f>
        <v>0</v>
      </c>
      <c r="U56" s="201">
        <v>1</v>
      </c>
      <c r="V56" s="200">
        <f>SUM(V62:V118)</f>
        <v>0</v>
      </c>
      <c r="W56" s="226">
        <v>1</v>
      </c>
      <c r="X56" s="202">
        <f>SUM(X62:X121)</f>
        <v>997282771</v>
      </c>
      <c r="Y56" s="227">
        <f t="shared" si="4"/>
        <v>100</v>
      </c>
      <c r="Z56" s="203">
        <f t="shared" ref="Z56:Z63" si="20">SUM(X56/N56)*100</f>
        <v>8.0475647413406559</v>
      </c>
      <c r="AA56" s="226">
        <f t="shared" si="6"/>
        <v>3</v>
      </c>
      <c r="AB56" s="202">
        <f>SUM(L56+X56)</f>
        <v>35726207437</v>
      </c>
      <c r="AC56" s="231">
        <f t="shared" si="7"/>
        <v>100</v>
      </c>
      <c r="AD56" s="203">
        <f>SUM(AB56/J56)*100</f>
        <v>32.009813166840424</v>
      </c>
      <c r="AE56" s="204" t="s">
        <v>281</v>
      </c>
      <c r="AF56" s="56"/>
      <c r="AG56" s="475"/>
      <c r="AH56" s="487"/>
      <c r="AI56" s="487"/>
    </row>
    <row r="57" spans="1:35" s="287" customFormat="1" ht="40.5" x14ac:dyDescent="0.25">
      <c r="A57" s="293"/>
      <c r="B57" s="205"/>
      <c r="C57" s="206"/>
      <c r="D57" s="206"/>
      <c r="E57" s="206"/>
      <c r="F57" s="206"/>
      <c r="G57" s="552"/>
      <c r="H57" s="294" t="s">
        <v>268</v>
      </c>
      <c r="I57" s="207">
        <v>14</v>
      </c>
      <c r="J57" s="208"/>
      <c r="K57" s="355">
        <v>11</v>
      </c>
      <c r="L57" s="185"/>
      <c r="M57" s="207">
        <v>4</v>
      </c>
      <c r="N57" s="295"/>
      <c r="O57" s="225">
        <v>1</v>
      </c>
      <c r="P57" s="471"/>
      <c r="Q57" s="225">
        <v>1</v>
      </c>
      <c r="R57" s="404"/>
      <c r="S57" s="209">
        <v>1</v>
      </c>
      <c r="T57" s="185"/>
      <c r="U57" s="209">
        <v>1</v>
      </c>
      <c r="V57" s="185"/>
      <c r="W57" s="225">
        <f>SUM(O57:U57)</f>
        <v>4</v>
      </c>
      <c r="X57" s="210"/>
      <c r="Y57" s="228">
        <f t="shared" si="4"/>
        <v>100</v>
      </c>
      <c r="Z57" s="211"/>
      <c r="AA57" s="225">
        <f t="shared" si="6"/>
        <v>15</v>
      </c>
      <c r="AB57" s="210"/>
      <c r="AC57" s="232">
        <f t="shared" si="7"/>
        <v>107.14285714285714</v>
      </c>
      <c r="AD57" s="211"/>
      <c r="AE57" s="212"/>
      <c r="AF57" s="56"/>
      <c r="AG57" s="475"/>
      <c r="AH57" s="487"/>
      <c r="AI57" s="487"/>
    </row>
    <row r="58" spans="1:35" s="287" customFormat="1" ht="40.5" x14ac:dyDescent="0.25">
      <c r="A58" s="293"/>
      <c r="B58" s="205"/>
      <c r="C58" s="206"/>
      <c r="D58" s="206"/>
      <c r="E58" s="206"/>
      <c r="F58" s="206"/>
      <c r="G58" s="552"/>
      <c r="H58" s="294" t="s">
        <v>269</v>
      </c>
      <c r="I58" s="207">
        <v>23</v>
      </c>
      <c r="J58" s="208"/>
      <c r="K58" s="355">
        <v>13</v>
      </c>
      <c r="L58" s="185"/>
      <c r="M58" s="207">
        <v>4</v>
      </c>
      <c r="N58" s="295"/>
      <c r="O58" s="225">
        <v>0</v>
      </c>
      <c r="P58" s="471"/>
      <c r="Q58" s="225">
        <v>2</v>
      </c>
      <c r="R58" s="404"/>
      <c r="S58" s="209">
        <v>0</v>
      </c>
      <c r="T58" s="185"/>
      <c r="U58" s="209">
        <v>2</v>
      </c>
      <c r="V58" s="185"/>
      <c r="W58" s="225">
        <f>SUM(O58:U58)</f>
        <v>4</v>
      </c>
      <c r="X58" s="210"/>
      <c r="Y58" s="228">
        <f t="shared" si="4"/>
        <v>100</v>
      </c>
      <c r="Z58" s="211"/>
      <c r="AA58" s="225">
        <f t="shared" si="6"/>
        <v>17</v>
      </c>
      <c r="AB58" s="210"/>
      <c r="AC58" s="232">
        <f t="shared" si="7"/>
        <v>73.91304347826086</v>
      </c>
      <c r="AD58" s="211"/>
      <c r="AE58" s="212"/>
      <c r="AF58" s="56"/>
      <c r="AG58" s="475"/>
      <c r="AH58" s="487"/>
      <c r="AI58" s="487"/>
    </row>
    <row r="59" spans="1:35" s="287" customFormat="1" ht="27" x14ac:dyDescent="0.25">
      <c r="A59" s="293"/>
      <c r="B59" s="205"/>
      <c r="C59" s="206"/>
      <c r="D59" s="206"/>
      <c r="E59" s="206"/>
      <c r="F59" s="206"/>
      <c r="G59" s="552"/>
      <c r="H59" s="294" t="s">
        <v>270</v>
      </c>
      <c r="I59" s="220">
        <v>277084</v>
      </c>
      <c r="J59" s="208"/>
      <c r="K59" s="376">
        <v>118457</v>
      </c>
      <c r="L59" s="185"/>
      <c r="M59" s="220">
        <v>60657</v>
      </c>
      <c r="N59" s="295"/>
      <c r="O59" s="267"/>
      <c r="P59" s="404"/>
      <c r="Q59" s="267"/>
      <c r="R59" s="404"/>
      <c r="S59" s="209"/>
      <c r="T59" s="185"/>
      <c r="U59" s="209">
        <v>60657</v>
      </c>
      <c r="V59" s="185"/>
      <c r="W59" s="225">
        <f>SUM(O59:U59)</f>
        <v>60657</v>
      </c>
      <c r="X59" s="210"/>
      <c r="Y59" s="228">
        <f t="shared" si="4"/>
        <v>100</v>
      </c>
      <c r="Z59" s="211"/>
      <c r="AA59" s="225">
        <f t="shared" si="6"/>
        <v>179114</v>
      </c>
      <c r="AB59" s="210"/>
      <c r="AC59" s="232">
        <f t="shared" si="7"/>
        <v>64.642491085735728</v>
      </c>
      <c r="AD59" s="211"/>
      <c r="AE59" s="212"/>
      <c r="AF59" s="56"/>
      <c r="AG59" s="475"/>
      <c r="AH59" s="487"/>
      <c r="AI59" s="487"/>
    </row>
    <row r="60" spans="1:35" s="287" customFormat="1" ht="40.5" x14ac:dyDescent="0.25">
      <c r="A60" s="293"/>
      <c r="B60" s="205"/>
      <c r="C60" s="206"/>
      <c r="D60" s="206"/>
      <c r="E60" s="206"/>
      <c r="F60" s="206"/>
      <c r="G60" s="552"/>
      <c r="H60" s="294" t="s">
        <v>271</v>
      </c>
      <c r="I60" s="207">
        <v>103</v>
      </c>
      <c r="J60" s="208"/>
      <c r="K60" s="355">
        <v>46</v>
      </c>
      <c r="L60" s="185"/>
      <c r="M60" s="207">
        <v>8</v>
      </c>
      <c r="N60" s="295"/>
      <c r="O60" s="225">
        <v>0</v>
      </c>
      <c r="P60" s="471"/>
      <c r="Q60" s="225">
        <v>3</v>
      </c>
      <c r="R60" s="404"/>
      <c r="S60" s="209">
        <v>1</v>
      </c>
      <c r="T60" s="185"/>
      <c r="U60" s="209">
        <v>4</v>
      </c>
      <c r="V60" s="185"/>
      <c r="W60" s="225">
        <f>SUM(O60:U60)</f>
        <v>8</v>
      </c>
      <c r="X60" s="210"/>
      <c r="Y60" s="228">
        <f t="shared" si="4"/>
        <v>100</v>
      </c>
      <c r="Z60" s="211"/>
      <c r="AA60" s="225">
        <f t="shared" si="6"/>
        <v>54</v>
      </c>
      <c r="AB60" s="210"/>
      <c r="AC60" s="232">
        <f t="shared" si="7"/>
        <v>52.427184466019419</v>
      </c>
      <c r="AD60" s="211"/>
      <c r="AE60" s="212"/>
      <c r="AF60" s="56"/>
      <c r="AG60" s="475"/>
      <c r="AH60" s="487"/>
      <c r="AI60" s="487"/>
    </row>
    <row r="61" spans="1:35" s="287" customFormat="1" ht="51.75" customHeight="1" x14ac:dyDescent="0.25">
      <c r="A61" s="296"/>
      <c r="B61" s="213"/>
      <c r="C61" s="214"/>
      <c r="D61" s="214"/>
      <c r="E61" s="214"/>
      <c r="F61" s="214"/>
      <c r="G61" s="553"/>
      <c r="H61" s="297" t="s">
        <v>272</v>
      </c>
      <c r="I61" s="221">
        <v>92141907400</v>
      </c>
      <c r="J61" s="215"/>
      <c r="K61" s="375">
        <v>173341329672</v>
      </c>
      <c r="L61" s="216"/>
      <c r="M61" s="221">
        <v>77554000000</v>
      </c>
      <c r="N61" s="298"/>
      <c r="O61" s="229">
        <v>21543845357</v>
      </c>
      <c r="P61" s="405"/>
      <c r="Q61" s="229">
        <v>23333837604</v>
      </c>
      <c r="R61" s="405"/>
      <c r="S61" s="217">
        <v>37100507504</v>
      </c>
      <c r="T61" s="216"/>
      <c r="U61" s="217">
        <v>37221446215</v>
      </c>
      <c r="V61" s="216"/>
      <c r="W61" s="229">
        <f>SUM(O61:U61)</f>
        <v>119199636680</v>
      </c>
      <c r="X61" s="218"/>
      <c r="Y61" s="230">
        <f t="shared" si="4"/>
        <v>153.69888939319699</v>
      </c>
      <c r="Z61" s="219"/>
      <c r="AA61" s="229">
        <f t="shared" si="6"/>
        <v>292540966352</v>
      </c>
      <c r="AB61" s="218"/>
      <c r="AC61" s="233">
        <f t="shared" si="7"/>
        <v>317.48959252823113</v>
      </c>
      <c r="AD61" s="219"/>
      <c r="AE61" s="195"/>
      <c r="AF61" s="56"/>
      <c r="AG61" s="475"/>
      <c r="AH61" s="487"/>
      <c r="AI61" s="487"/>
    </row>
    <row r="62" spans="1:35" ht="47.25" customHeight="1" x14ac:dyDescent="0.25">
      <c r="A62" s="26"/>
      <c r="B62" s="186" t="s">
        <v>139</v>
      </c>
      <c r="C62" s="329" t="s">
        <v>292</v>
      </c>
      <c r="D62" s="186" t="s">
        <v>74</v>
      </c>
      <c r="E62" s="186" t="s">
        <v>83</v>
      </c>
      <c r="F62" s="186" t="s">
        <v>75</v>
      </c>
      <c r="G62" s="509" t="s">
        <v>37</v>
      </c>
      <c r="H62" s="510" t="s">
        <v>260</v>
      </c>
      <c r="I62" s="187">
        <v>10</v>
      </c>
      <c r="J62" s="188">
        <v>3269003450</v>
      </c>
      <c r="K62" s="356">
        <f>6+2</f>
        <v>8</v>
      </c>
      <c r="L62" s="193">
        <f>1657047900+532918500</f>
        <v>2189966400</v>
      </c>
      <c r="M62" s="335" t="s">
        <v>400</v>
      </c>
      <c r="N62" s="271">
        <v>462073720</v>
      </c>
      <c r="O62" s="437">
        <v>0</v>
      </c>
      <c r="P62" s="438">
        <v>0</v>
      </c>
      <c r="Q62" s="437"/>
      <c r="R62" s="438"/>
      <c r="S62" s="189"/>
      <c r="T62" s="190"/>
      <c r="U62" s="191"/>
      <c r="V62" s="190"/>
      <c r="W62" s="153">
        <f t="shared" ref="W62:X123" si="21">O62+Q62+S62+U62</f>
        <v>0</v>
      </c>
      <c r="X62" s="260">
        <f>SUM(P62+R62+T62+V62)</f>
        <v>0</v>
      </c>
      <c r="Y62" s="38">
        <f t="shared" si="4"/>
        <v>0</v>
      </c>
      <c r="Z62" s="192">
        <f t="shared" si="20"/>
        <v>0</v>
      </c>
      <c r="AA62" s="338">
        <f t="shared" si="6"/>
        <v>8</v>
      </c>
      <c r="AB62" s="193">
        <f>SUM(L62+X62)</f>
        <v>2189966400</v>
      </c>
      <c r="AC62" s="143">
        <f t="shared" si="7"/>
        <v>80</v>
      </c>
      <c r="AD62" s="194">
        <f t="shared" ref="AD62:AD73" si="22">SUM(AB62/J62)*100</f>
        <v>66.991865670866758</v>
      </c>
      <c r="AE62" s="323" t="s">
        <v>281</v>
      </c>
      <c r="AF62" s="96"/>
      <c r="AG62" s="472"/>
      <c r="AH62" s="484"/>
      <c r="AI62" s="484"/>
    </row>
    <row r="63" spans="1:35" ht="73.5" customHeight="1" x14ac:dyDescent="0.25">
      <c r="A63" s="26"/>
      <c r="B63" s="93" t="s">
        <v>139</v>
      </c>
      <c r="C63" s="93" t="s">
        <v>73</v>
      </c>
      <c r="D63" s="93" t="s">
        <v>74</v>
      </c>
      <c r="E63" s="93" t="s">
        <v>83</v>
      </c>
      <c r="F63" s="93" t="s">
        <v>94</v>
      </c>
      <c r="G63" s="28" t="s">
        <v>39</v>
      </c>
      <c r="H63" s="288" t="s">
        <v>38</v>
      </c>
      <c r="I63" s="51">
        <v>4</v>
      </c>
      <c r="J63" s="79">
        <v>1323585900</v>
      </c>
      <c r="K63" s="346">
        <v>3</v>
      </c>
      <c r="L63" s="61">
        <f>463486093+92071790</f>
        <v>555557883</v>
      </c>
      <c r="M63" s="48">
        <v>1</v>
      </c>
      <c r="N63" s="67">
        <v>64057069</v>
      </c>
      <c r="O63" s="428">
        <v>0</v>
      </c>
      <c r="P63" s="425">
        <v>0</v>
      </c>
      <c r="Q63" s="86"/>
      <c r="R63" s="425"/>
      <c r="S63" s="102"/>
      <c r="T63" s="69"/>
      <c r="U63" s="69"/>
      <c r="V63" s="88"/>
      <c r="W63" s="153">
        <v>0</v>
      </c>
      <c r="X63" s="148">
        <f t="shared" ref="X63:X77" si="23">SUM(P63+R63+T63+V63)</f>
        <v>0</v>
      </c>
      <c r="Y63" s="38">
        <f t="shared" si="4"/>
        <v>0</v>
      </c>
      <c r="Z63" s="95">
        <f t="shared" si="20"/>
        <v>0</v>
      </c>
      <c r="AA63" s="338">
        <f t="shared" si="6"/>
        <v>3</v>
      </c>
      <c r="AB63" s="61">
        <f>SUM(L63+X63)</f>
        <v>555557883</v>
      </c>
      <c r="AC63" s="143">
        <f t="shared" si="7"/>
        <v>75</v>
      </c>
      <c r="AD63" s="40">
        <f t="shared" si="22"/>
        <v>41.973693056113696</v>
      </c>
      <c r="AE63" s="160" t="s">
        <v>281</v>
      </c>
      <c r="AF63" s="97"/>
      <c r="AG63" s="481"/>
      <c r="AH63" s="484"/>
      <c r="AI63" s="484"/>
    </row>
    <row r="64" spans="1:35" ht="93.75" customHeight="1" x14ac:dyDescent="0.25">
      <c r="A64" s="26"/>
      <c r="B64" s="93" t="s">
        <v>139</v>
      </c>
      <c r="C64" s="93" t="s">
        <v>73</v>
      </c>
      <c r="D64" s="93" t="s">
        <v>74</v>
      </c>
      <c r="E64" s="93" t="s">
        <v>83</v>
      </c>
      <c r="F64" s="93" t="s">
        <v>96</v>
      </c>
      <c r="G64" s="28" t="s">
        <v>98</v>
      </c>
      <c r="H64" s="288" t="s">
        <v>40</v>
      </c>
      <c r="I64" s="30">
        <v>5</v>
      </c>
      <c r="J64" s="57">
        <v>1016747000</v>
      </c>
      <c r="K64" s="346">
        <v>3</v>
      </c>
      <c r="L64" s="61">
        <f>398062000+0</f>
        <v>398062000</v>
      </c>
      <c r="M64" s="33">
        <v>0</v>
      </c>
      <c r="N64" s="59">
        <v>0</v>
      </c>
      <c r="O64" s="428">
        <v>0</v>
      </c>
      <c r="P64" s="439">
        <v>0</v>
      </c>
      <c r="Q64" s="86"/>
      <c r="R64" s="439"/>
      <c r="S64" s="102"/>
      <c r="T64" s="69"/>
      <c r="U64" s="69"/>
      <c r="V64" s="69"/>
      <c r="W64" s="153">
        <f t="shared" si="21"/>
        <v>0</v>
      </c>
      <c r="X64" s="148">
        <f t="shared" si="23"/>
        <v>0</v>
      </c>
      <c r="Y64" s="38" t="e">
        <f t="shared" si="4"/>
        <v>#DIV/0!</v>
      </c>
      <c r="Z64" s="95" t="e">
        <f t="shared" ref="Z64:Z115" si="24">SUM(X64/N64)*100</f>
        <v>#DIV/0!</v>
      </c>
      <c r="AA64" s="338">
        <f t="shared" si="6"/>
        <v>3</v>
      </c>
      <c r="AB64" s="61">
        <f t="shared" ref="AB64:AB71" si="25">SUM(L64+X64)</f>
        <v>398062000</v>
      </c>
      <c r="AC64" s="143">
        <f t="shared" si="7"/>
        <v>60</v>
      </c>
      <c r="AD64" s="39">
        <f t="shared" si="22"/>
        <v>39.150545809331135</v>
      </c>
      <c r="AE64" s="160" t="s">
        <v>281</v>
      </c>
      <c r="AF64" s="90"/>
      <c r="AG64" s="472"/>
      <c r="AH64" s="493"/>
      <c r="AI64" s="494"/>
    </row>
    <row r="65" spans="1:35" ht="75" customHeight="1" x14ac:dyDescent="0.25">
      <c r="A65" s="26"/>
      <c r="B65" s="93" t="s">
        <v>139</v>
      </c>
      <c r="C65" s="93" t="s">
        <v>73</v>
      </c>
      <c r="D65" s="93" t="s">
        <v>74</v>
      </c>
      <c r="E65" s="93" t="s">
        <v>83</v>
      </c>
      <c r="F65" s="93" t="s">
        <v>76</v>
      </c>
      <c r="G65" s="28" t="s">
        <v>42</v>
      </c>
      <c r="H65" s="288" t="s">
        <v>41</v>
      </c>
      <c r="I65" s="51">
        <v>5</v>
      </c>
      <c r="J65" s="94">
        <v>3188327424</v>
      </c>
      <c r="K65" s="346">
        <v>4</v>
      </c>
      <c r="L65" s="61">
        <f>793092900+331175000</f>
        <v>1124267900</v>
      </c>
      <c r="M65" s="33">
        <v>1</v>
      </c>
      <c r="N65" s="59">
        <v>300818900</v>
      </c>
      <c r="O65" s="424"/>
      <c r="P65" s="439">
        <v>28183500</v>
      </c>
      <c r="Q65" s="86"/>
      <c r="R65" s="439"/>
      <c r="S65" s="102"/>
      <c r="T65" s="69"/>
      <c r="U65" s="72"/>
      <c r="V65" s="69"/>
      <c r="W65" s="153">
        <f>O65+Q65+S65+U65</f>
        <v>0</v>
      </c>
      <c r="X65" s="148">
        <f t="shared" si="23"/>
        <v>28183500</v>
      </c>
      <c r="Y65" s="38">
        <f t="shared" si="4"/>
        <v>0</v>
      </c>
      <c r="Z65" s="95">
        <f t="shared" si="24"/>
        <v>9.3689259551178452</v>
      </c>
      <c r="AA65" s="338">
        <f t="shared" si="6"/>
        <v>4</v>
      </c>
      <c r="AB65" s="61">
        <f>SUM(L65+X65)</f>
        <v>1152451400</v>
      </c>
      <c r="AC65" s="143">
        <f t="shared" si="7"/>
        <v>80</v>
      </c>
      <c r="AD65" s="39">
        <f t="shared" si="22"/>
        <v>36.145955127599841</v>
      </c>
      <c r="AE65" s="160" t="s">
        <v>281</v>
      </c>
      <c r="AF65" s="98"/>
      <c r="AG65" s="472"/>
      <c r="AH65" s="484"/>
      <c r="AI65" s="484"/>
    </row>
    <row r="66" spans="1:35" ht="84.75" customHeight="1" x14ac:dyDescent="0.25">
      <c r="A66" s="26"/>
      <c r="B66" s="93" t="s">
        <v>139</v>
      </c>
      <c r="C66" s="93" t="s">
        <v>73</v>
      </c>
      <c r="D66" s="93" t="s">
        <v>74</v>
      </c>
      <c r="E66" s="93" t="s">
        <v>83</v>
      </c>
      <c r="F66" s="93" t="s">
        <v>88</v>
      </c>
      <c r="G66" s="28" t="s">
        <v>43</v>
      </c>
      <c r="H66" s="288" t="s">
        <v>130</v>
      </c>
      <c r="I66" s="51">
        <v>5</v>
      </c>
      <c r="J66" s="94">
        <v>848371668</v>
      </c>
      <c r="K66" s="346">
        <v>4</v>
      </c>
      <c r="L66" s="61">
        <f>289967500+88120000</f>
        <v>378087500</v>
      </c>
      <c r="M66" s="33">
        <v>1</v>
      </c>
      <c r="N66" s="59">
        <v>412682329</v>
      </c>
      <c r="O66" s="424"/>
      <c r="P66" s="439">
        <v>25000000</v>
      </c>
      <c r="Q66" s="86"/>
      <c r="R66" s="439"/>
      <c r="S66" s="102"/>
      <c r="T66" s="69"/>
      <c r="U66" s="33"/>
      <c r="V66" s="69"/>
      <c r="W66" s="153">
        <f t="shared" si="21"/>
        <v>0</v>
      </c>
      <c r="X66" s="148">
        <f t="shared" si="23"/>
        <v>25000000</v>
      </c>
      <c r="Y66" s="38">
        <f t="shared" si="4"/>
        <v>0</v>
      </c>
      <c r="Z66" s="95">
        <f t="shared" si="24"/>
        <v>6.0579283975108122</v>
      </c>
      <c r="AA66" s="338">
        <f t="shared" si="6"/>
        <v>4</v>
      </c>
      <c r="AB66" s="61">
        <f t="shared" si="25"/>
        <v>403087500</v>
      </c>
      <c r="AC66" s="143">
        <f t="shared" si="7"/>
        <v>80</v>
      </c>
      <c r="AD66" s="39">
        <f t="shared" si="22"/>
        <v>47.513078902111566</v>
      </c>
      <c r="AE66" s="160" t="s">
        <v>281</v>
      </c>
      <c r="AF66" s="98"/>
      <c r="AG66" s="472"/>
      <c r="AH66" s="484"/>
      <c r="AI66" s="484"/>
    </row>
    <row r="67" spans="1:35" ht="82.5" customHeight="1" x14ac:dyDescent="0.25">
      <c r="A67" s="26"/>
      <c r="B67" s="93" t="s">
        <v>139</v>
      </c>
      <c r="C67" s="93" t="s">
        <v>73</v>
      </c>
      <c r="D67" s="93" t="s">
        <v>74</v>
      </c>
      <c r="E67" s="93" t="s">
        <v>83</v>
      </c>
      <c r="F67" s="93" t="s">
        <v>77</v>
      </c>
      <c r="G67" s="28" t="s">
        <v>44</v>
      </c>
      <c r="H67" s="288" t="s">
        <v>131</v>
      </c>
      <c r="I67" s="51">
        <v>5</v>
      </c>
      <c r="J67" s="94">
        <v>2683924062</v>
      </c>
      <c r="K67" s="346">
        <v>4</v>
      </c>
      <c r="L67" s="261">
        <f>877229150+278890000</f>
        <v>1156119150</v>
      </c>
      <c r="M67" s="33">
        <v>1</v>
      </c>
      <c r="N67" s="59">
        <v>296318900</v>
      </c>
      <c r="O67" s="86">
        <v>0</v>
      </c>
      <c r="P67" s="439">
        <v>0</v>
      </c>
      <c r="Q67" s="86"/>
      <c r="R67" s="439"/>
      <c r="S67" s="102"/>
      <c r="T67" s="69"/>
      <c r="U67" s="33"/>
      <c r="V67" s="69"/>
      <c r="W67" s="153">
        <f t="shared" si="21"/>
        <v>0</v>
      </c>
      <c r="X67" s="148">
        <f t="shared" si="23"/>
        <v>0</v>
      </c>
      <c r="Y67" s="38">
        <f t="shared" si="4"/>
        <v>0</v>
      </c>
      <c r="Z67" s="95">
        <f t="shared" si="24"/>
        <v>0</v>
      </c>
      <c r="AA67" s="338">
        <f t="shared" si="6"/>
        <v>4</v>
      </c>
      <c r="AB67" s="61">
        <f>SUM(L67+X67)</f>
        <v>1156119150</v>
      </c>
      <c r="AC67" s="143">
        <f t="shared" si="7"/>
        <v>80</v>
      </c>
      <c r="AD67" s="39">
        <f t="shared" si="22"/>
        <v>43.075702713380274</v>
      </c>
      <c r="AE67" s="160" t="s">
        <v>281</v>
      </c>
      <c r="AF67" s="98"/>
      <c r="AG67" s="472"/>
      <c r="AH67" s="484"/>
      <c r="AI67" s="484"/>
    </row>
    <row r="68" spans="1:35" ht="98.25" customHeight="1" x14ac:dyDescent="0.25">
      <c r="A68" s="26"/>
      <c r="B68" s="93" t="s">
        <v>139</v>
      </c>
      <c r="C68" s="93" t="s">
        <v>73</v>
      </c>
      <c r="D68" s="93" t="s">
        <v>74</v>
      </c>
      <c r="E68" s="93" t="s">
        <v>83</v>
      </c>
      <c r="F68" s="93" t="s">
        <v>89</v>
      </c>
      <c r="G68" s="28" t="s">
        <v>45</v>
      </c>
      <c r="H68" s="288" t="s">
        <v>131</v>
      </c>
      <c r="I68" s="51">
        <v>5</v>
      </c>
      <c r="J68" s="57">
        <v>747462500</v>
      </c>
      <c r="K68" s="346">
        <f>3+1</f>
        <v>4</v>
      </c>
      <c r="L68" s="61">
        <f>328580000+173350000</f>
        <v>501930000</v>
      </c>
      <c r="M68" s="33">
        <v>1</v>
      </c>
      <c r="N68" s="59">
        <v>331985880</v>
      </c>
      <c r="O68" s="103">
        <v>0</v>
      </c>
      <c r="P68" s="439">
        <v>0</v>
      </c>
      <c r="Q68" s="86"/>
      <c r="R68" s="439"/>
      <c r="S68" s="176"/>
      <c r="T68" s="99"/>
      <c r="U68" s="99"/>
      <c r="V68" s="99"/>
      <c r="W68" s="153">
        <f t="shared" si="21"/>
        <v>0</v>
      </c>
      <c r="X68" s="148">
        <f t="shared" si="23"/>
        <v>0</v>
      </c>
      <c r="Y68" s="38">
        <f t="shared" si="4"/>
        <v>0</v>
      </c>
      <c r="Z68" s="95">
        <f t="shared" si="24"/>
        <v>0</v>
      </c>
      <c r="AA68" s="338">
        <f t="shared" si="6"/>
        <v>4</v>
      </c>
      <c r="AB68" s="61">
        <f t="shared" si="25"/>
        <v>501930000</v>
      </c>
      <c r="AC68" s="143">
        <f t="shared" si="7"/>
        <v>80</v>
      </c>
      <c r="AD68" s="39">
        <f t="shared" si="22"/>
        <v>67.15119487599712</v>
      </c>
      <c r="AE68" s="160" t="s">
        <v>281</v>
      </c>
      <c r="AF68" s="98"/>
      <c r="AG68" s="472"/>
      <c r="AH68" s="484"/>
      <c r="AI68" s="484"/>
    </row>
    <row r="69" spans="1:35" ht="113.25" customHeight="1" x14ac:dyDescent="0.25">
      <c r="A69" s="26"/>
      <c r="B69" s="93" t="s">
        <v>139</v>
      </c>
      <c r="C69" s="93" t="s">
        <v>73</v>
      </c>
      <c r="D69" s="93" t="s">
        <v>74</v>
      </c>
      <c r="E69" s="93" t="s">
        <v>83</v>
      </c>
      <c r="F69" s="93" t="s">
        <v>78</v>
      </c>
      <c r="G69" s="28" t="s">
        <v>46</v>
      </c>
      <c r="H69" s="288" t="s">
        <v>132</v>
      </c>
      <c r="I69" s="51">
        <v>5</v>
      </c>
      <c r="J69" s="57">
        <v>2205195500</v>
      </c>
      <c r="K69" s="346">
        <v>4</v>
      </c>
      <c r="L69" s="61">
        <f>715543490+71320900</f>
        <v>786864390</v>
      </c>
      <c r="M69" s="33">
        <v>1</v>
      </c>
      <c r="N69" s="59">
        <v>77953471</v>
      </c>
      <c r="O69" s="86">
        <v>0</v>
      </c>
      <c r="P69" s="439">
        <v>0</v>
      </c>
      <c r="Q69" s="86"/>
      <c r="R69" s="439"/>
      <c r="S69" s="102"/>
      <c r="T69" s="69"/>
      <c r="U69" s="69"/>
      <c r="V69" s="69"/>
      <c r="W69" s="153">
        <f t="shared" si="21"/>
        <v>0</v>
      </c>
      <c r="X69" s="148">
        <f t="shared" si="23"/>
        <v>0</v>
      </c>
      <c r="Y69" s="38">
        <f t="shared" si="4"/>
        <v>0</v>
      </c>
      <c r="Z69" s="95">
        <f t="shared" si="24"/>
        <v>0</v>
      </c>
      <c r="AA69" s="338">
        <f t="shared" si="6"/>
        <v>4</v>
      </c>
      <c r="AB69" s="61">
        <f t="shared" si="25"/>
        <v>786864390</v>
      </c>
      <c r="AC69" s="143">
        <f t="shared" si="7"/>
        <v>80</v>
      </c>
      <c r="AD69" s="39">
        <f t="shared" si="22"/>
        <v>35.682296195507384</v>
      </c>
      <c r="AE69" s="160" t="s">
        <v>281</v>
      </c>
      <c r="AF69" s="98"/>
      <c r="AG69" s="472"/>
      <c r="AH69" s="484"/>
      <c r="AI69" s="484"/>
    </row>
    <row r="70" spans="1:35" ht="126" customHeight="1" x14ac:dyDescent="0.25">
      <c r="A70" s="26"/>
      <c r="B70" s="93" t="s">
        <v>139</v>
      </c>
      <c r="C70" s="93" t="s">
        <v>73</v>
      </c>
      <c r="D70" s="93" t="s">
        <v>74</v>
      </c>
      <c r="E70" s="93" t="s">
        <v>83</v>
      </c>
      <c r="F70" s="93" t="s">
        <v>79</v>
      </c>
      <c r="G70" s="28" t="s">
        <v>48</v>
      </c>
      <c r="H70" s="288" t="s">
        <v>47</v>
      </c>
      <c r="I70" s="33">
        <v>5</v>
      </c>
      <c r="J70" s="79">
        <v>358552523</v>
      </c>
      <c r="K70" s="346">
        <f>3+1</f>
        <v>4</v>
      </c>
      <c r="L70" s="61">
        <f>130780000+32240000</f>
        <v>163020000</v>
      </c>
      <c r="M70" s="33">
        <v>1</v>
      </c>
      <c r="N70" s="59">
        <v>38384665</v>
      </c>
      <c r="O70" s="86">
        <v>0</v>
      </c>
      <c r="P70" s="439">
        <v>0</v>
      </c>
      <c r="Q70" s="86"/>
      <c r="R70" s="439"/>
      <c r="S70" s="102"/>
      <c r="T70" s="69"/>
      <c r="U70" s="69"/>
      <c r="V70" s="69"/>
      <c r="W70" s="153">
        <f t="shared" si="21"/>
        <v>0</v>
      </c>
      <c r="X70" s="148">
        <f t="shared" si="23"/>
        <v>0</v>
      </c>
      <c r="Y70" s="38">
        <f t="shared" si="4"/>
        <v>0</v>
      </c>
      <c r="Z70" s="95">
        <f t="shared" si="24"/>
        <v>0</v>
      </c>
      <c r="AA70" s="338">
        <f t="shared" si="6"/>
        <v>4</v>
      </c>
      <c r="AB70" s="61">
        <f t="shared" si="25"/>
        <v>163020000</v>
      </c>
      <c r="AC70" s="143">
        <f t="shared" si="7"/>
        <v>80</v>
      </c>
      <c r="AD70" s="39">
        <f t="shared" si="22"/>
        <v>45.466142208682768</v>
      </c>
      <c r="AE70" s="160" t="s">
        <v>281</v>
      </c>
      <c r="AF70" s="98"/>
      <c r="AG70" s="472"/>
      <c r="AH70" s="484"/>
      <c r="AI70" s="484"/>
    </row>
    <row r="71" spans="1:35" ht="72.75" customHeight="1" x14ac:dyDescent="0.25">
      <c r="A71" s="26"/>
      <c r="B71" s="93" t="s">
        <v>139</v>
      </c>
      <c r="C71" s="93" t="s">
        <v>73</v>
      </c>
      <c r="D71" s="93" t="s">
        <v>74</v>
      </c>
      <c r="E71" s="93" t="s">
        <v>83</v>
      </c>
      <c r="F71" s="93">
        <v>13</v>
      </c>
      <c r="G71" s="28" t="s">
        <v>184</v>
      </c>
      <c r="H71" s="288" t="s">
        <v>185</v>
      </c>
      <c r="I71" s="51">
        <v>8</v>
      </c>
      <c r="J71" s="51">
        <v>1873101750</v>
      </c>
      <c r="K71" s="357">
        <v>7</v>
      </c>
      <c r="L71" s="67">
        <f>1038349303+131281000</f>
        <v>1169630303</v>
      </c>
      <c r="M71" s="33">
        <v>1</v>
      </c>
      <c r="N71" s="59">
        <v>139532300</v>
      </c>
      <c r="O71" s="86">
        <v>0</v>
      </c>
      <c r="P71" s="439">
        <v>0</v>
      </c>
      <c r="Q71" s="86"/>
      <c r="R71" s="439"/>
      <c r="S71" s="92"/>
      <c r="T71" s="69"/>
      <c r="U71" s="33"/>
      <c r="V71" s="69"/>
      <c r="W71" s="153">
        <f t="shared" si="21"/>
        <v>0</v>
      </c>
      <c r="X71" s="148">
        <f t="shared" si="23"/>
        <v>0</v>
      </c>
      <c r="Y71" s="38">
        <f t="shared" si="4"/>
        <v>0</v>
      </c>
      <c r="Z71" s="95">
        <f t="shared" si="24"/>
        <v>0</v>
      </c>
      <c r="AA71" s="338">
        <f t="shared" si="6"/>
        <v>7</v>
      </c>
      <c r="AB71" s="61">
        <f t="shared" si="25"/>
        <v>1169630303</v>
      </c>
      <c r="AC71" s="143">
        <f t="shared" si="7"/>
        <v>87.5</v>
      </c>
      <c r="AD71" s="39">
        <f t="shared" si="22"/>
        <v>62.443500626701145</v>
      </c>
      <c r="AE71" s="160" t="s">
        <v>281</v>
      </c>
      <c r="AF71" s="98"/>
      <c r="AG71" s="472"/>
      <c r="AH71" s="484"/>
      <c r="AI71" s="484"/>
    </row>
    <row r="72" spans="1:35" ht="85.5" customHeight="1" x14ac:dyDescent="0.25">
      <c r="A72" s="26"/>
      <c r="B72" s="93" t="s">
        <v>139</v>
      </c>
      <c r="C72" s="93" t="s">
        <v>73</v>
      </c>
      <c r="D72" s="93" t="s">
        <v>74</v>
      </c>
      <c r="E72" s="93" t="s">
        <v>83</v>
      </c>
      <c r="F72" s="93" t="s">
        <v>143</v>
      </c>
      <c r="G72" s="28" t="s">
        <v>50</v>
      </c>
      <c r="H72" s="288" t="s">
        <v>49</v>
      </c>
      <c r="I72" s="51">
        <v>17</v>
      </c>
      <c r="J72" s="57">
        <v>1764390000</v>
      </c>
      <c r="K72" s="346">
        <v>13</v>
      </c>
      <c r="L72" s="61">
        <f>752093078+432652284</f>
        <v>1184745362</v>
      </c>
      <c r="M72" s="33">
        <v>2</v>
      </c>
      <c r="N72" s="59">
        <v>341340000</v>
      </c>
      <c r="O72" s="86"/>
      <c r="P72" s="439">
        <v>11008640</v>
      </c>
      <c r="Q72" s="86"/>
      <c r="R72" s="439"/>
      <c r="S72" s="70"/>
      <c r="T72" s="69"/>
      <c r="U72" s="70"/>
      <c r="V72" s="69"/>
      <c r="W72" s="153">
        <f t="shared" si="21"/>
        <v>0</v>
      </c>
      <c r="X72" s="148">
        <f t="shared" si="23"/>
        <v>11008640</v>
      </c>
      <c r="Y72" s="38">
        <f t="shared" si="4"/>
        <v>0</v>
      </c>
      <c r="Z72" s="95">
        <f t="shared" si="24"/>
        <v>3.2251245092869278</v>
      </c>
      <c r="AA72" s="338">
        <f t="shared" si="6"/>
        <v>13</v>
      </c>
      <c r="AB72" s="61">
        <f>SUM(L72+X72)</f>
        <v>1195754002</v>
      </c>
      <c r="AC72" s="143">
        <f t="shared" si="7"/>
        <v>76.470588235294116</v>
      </c>
      <c r="AD72" s="39">
        <f t="shared" si="22"/>
        <v>67.771524549561036</v>
      </c>
      <c r="AE72" s="160" t="s">
        <v>281</v>
      </c>
      <c r="AF72" s="98"/>
      <c r="AG72" s="472"/>
      <c r="AH72" s="488"/>
      <c r="AI72" s="484"/>
    </row>
    <row r="73" spans="1:35" ht="111" customHeight="1" x14ac:dyDescent="0.25">
      <c r="A73" s="26"/>
      <c r="B73" s="93" t="s">
        <v>139</v>
      </c>
      <c r="C73" s="93" t="s">
        <v>73</v>
      </c>
      <c r="D73" s="93" t="s">
        <v>74</v>
      </c>
      <c r="E73" s="93" t="s">
        <v>83</v>
      </c>
      <c r="F73" s="93" t="s">
        <v>82</v>
      </c>
      <c r="G73" s="100" t="s">
        <v>52</v>
      </c>
      <c r="H73" s="288" t="s">
        <v>51</v>
      </c>
      <c r="I73" s="51">
        <v>20</v>
      </c>
      <c r="J73" s="57">
        <v>4104580832</v>
      </c>
      <c r="K73" s="346">
        <v>16</v>
      </c>
      <c r="L73" s="61">
        <f>1352919830+331890500</f>
        <v>1684810330</v>
      </c>
      <c r="M73" s="33">
        <v>2</v>
      </c>
      <c r="N73" s="59">
        <v>189188876</v>
      </c>
      <c r="O73" s="424">
        <v>0</v>
      </c>
      <c r="P73" s="439">
        <v>0</v>
      </c>
      <c r="Q73" s="86"/>
      <c r="R73" s="439"/>
      <c r="S73" s="71"/>
      <c r="T73" s="69"/>
      <c r="U73" s="72"/>
      <c r="V73" s="69"/>
      <c r="W73" s="153">
        <f t="shared" si="21"/>
        <v>0</v>
      </c>
      <c r="X73" s="148">
        <f t="shared" si="23"/>
        <v>0</v>
      </c>
      <c r="Y73" s="38">
        <f t="shared" si="4"/>
        <v>0</v>
      </c>
      <c r="Z73" s="95">
        <f t="shared" si="24"/>
        <v>0</v>
      </c>
      <c r="AA73" s="338">
        <f t="shared" si="6"/>
        <v>16</v>
      </c>
      <c r="AB73" s="61">
        <f t="shared" ref="AB73:AB84" si="26">SUM(L73+X73)</f>
        <v>1684810330</v>
      </c>
      <c r="AC73" s="143">
        <f t="shared" si="7"/>
        <v>80</v>
      </c>
      <c r="AD73" s="39">
        <f t="shared" si="22"/>
        <v>41.047073963434613</v>
      </c>
      <c r="AE73" s="160" t="s">
        <v>281</v>
      </c>
      <c r="AF73" s="98"/>
      <c r="AG73" s="472"/>
      <c r="AH73" s="484"/>
      <c r="AI73" s="484"/>
    </row>
    <row r="74" spans="1:35" s="163" customFormat="1" ht="73.5" hidden="1" customHeight="1" x14ac:dyDescent="0.25">
      <c r="A74" s="162"/>
      <c r="B74" s="299" t="s">
        <v>139</v>
      </c>
      <c r="C74" s="299" t="s">
        <v>73</v>
      </c>
      <c r="D74" s="299" t="s">
        <v>74</v>
      </c>
      <c r="E74" s="299" t="s">
        <v>83</v>
      </c>
      <c r="F74" s="299" t="s">
        <v>144</v>
      </c>
      <c r="G74" s="28" t="s">
        <v>54</v>
      </c>
      <c r="H74" s="288" t="s">
        <v>53</v>
      </c>
      <c r="I74" s="33">
        <v>12</v>
      </c>
      <c r="J74" s="79">
        <v>1631635500</v>
      </c>
      <c r="K74" s="353">
        <v>12</v>
      </c>
      <c r="L74" s="58">
        <v>973817078</v>
      </c>
      <c r="M74" s="92"/>
      <c r="N74" s="101"/>
      <c r="O74" s="268"/>
      <c r="P74" s="407"/>
      <c r="Q74" s="387"/>
      <c r="R74" s="408"/>
      <c r="S74" s="276"/>
      <c r="T74" s="58"/>
      <c r="U74" s="58"/>
      <c r="V74" s="66"/>
      <c r="W74" s="153">
        <f t="shared" si="21"/>
        <v>0</v>
      </c>
      <c r="X74" s="148">
        <f t="shared" si="23"/>
        <v>0</v>
      </c>
      <c r="Y74" s="38" t="e">
        <f t="shared" ref="Y74:Y75" si="27">SUM(W74/M74*100)</f>
        <v>#DIV/0!</v>
      </c>
      <c r="Z74" s="95" t="e">
        <f t="shared" ref="Z74:Z75" si="28">SUM(X74/N74)*100</f>
        <v>#DIV/0!</v>
      </c>
      <c r="AA74" s="338">
        <f t="shared" ref="AA74:AA75" si="29">SUM(K74+W74)</f>
        <v>12</v>
      </c>
      <c r="AB74" s="61">
        <f t="shared" si="26"/>
        <v>973817078</v>
      </c>
      <c r="AC74" s="143">
        <f t="shared" ref="AC74:AC75" si="30">SUM(AA74/I74*100)</f>
        <v>100</v>
      </c>
      <c r="AD74" s="39">
        <f t="shared" ref="AD74:AD75" si="31">SUM(AB74/J74)*100</f>
        <v>59.683494138243496</v>
      </c>
      <c r="AE74" s="160" t="s">
        <v>281</v>
      </c>
      <c r="AF74" s="300"/>
      <c r="AG74" s="482"/>
      <c r="AH74" s="486"/>
      <c r="AI74" s="486"/>
    </row>
    <row r="75" spans="1:35" s="163" customFormat="1" ht="73.5" customHeight="1" x14ac:dyDescent="0.25">
      <c r="A75" s="162"/>
      <c r="B75" s="93" t="s">
        <v>139</v>
      </c>
      <c r="C75" s="93" t="s">
        <v>73</v>
      </c>
      <c r="D75" s="93" t="s">
        <v>74</v>
      </c>
      <c r="E75" s="93" t="s">
        <v>83</v>
      </c>
      <c r="F75" s="93" t="s">
        <v>278</v>
      </c>
      <c r="G75" s="100" t="s">
        <v>279</v>
      </c>
      <c r="H75" s="288" t="s">
        <v>280</v>
      </c>
      <c r="I75" s="51">
        <v>36</v>
      </c>
      <c r="J75" s="79">
        <v>13088914341</v>
      </c>
      <c r="K75" s="353">
        <v>33</v>
      </c>
      <c r="L75" s="58">
        <f>5061722500+1019470000</f>
        <v>6081192500</v>
      </c>
      <c r="M75" s="92">
        <v>3</v>
      </c>
      <c r="N75" s="101">
        <v>541894073</v>
      </c>
      <c r="O75" s="86">
        <v>0</v>
      </c>
      <c r="P75" s="440">
        <v>40455000</v>
      </c>
      <c r="Q75" s="424"/>
      <c r="R75" s="440"/>
      <c r="S75" s="276"/>
      <c r="T75" s="58"/>
      <c r="U75" s="58"/>
      <c r="V75" s="66"/>
      <c r="W75" s="153">
        <f t="shared" si="21"/>
        <v>0</v>
      </c>
      <c r="X75" s="148">
        <f t="shared" si="23"/>
        <v>40455000</v>
      </c>
      <c r="Y75" s="38">
        <f t="shared" si="27"/>
        <v>0</v>
      </c>
      <c r="Z75" s="95">
        <f t="shared" si="28"/>
        <v>7.4654811734765003</v>
      </c>
      <c r="AA75" s="338">
        <f t="shared" si="29"/>
        <v>33</v>
      </c>
      <c r="AB75" s="61">
        <f t="shared" si="26"/>
        <v>6121647500</v>
      </c>
      <c r="AC75" s="143">
        <f t="shared" si="30"/>
        <v>91.666666666666657</v>
      </c>
      <c r="AD75" s="39">
        <f t="shared" si="31"/>
        <v>46.769711685135093</v>
      </c>
      <c r="AE75" s="160" t="s">
        <v>281</v>
      </c>
      <c r="AF75" s="300"/>
      <c r="AG75" s="482"/>
      <c r="AH75" s="486"/>
      <c r="AI75" s="486"/>
    </row>
    <row r="76" spans="1:35" s="163" customFormat="1" ht="216.75" customHeight="1" x14ac:dyDescent="0.25">
      <c r="A76" s="162"/>
      <c r="B76" s="93" t="s">
        <v>274</v>
      </c>
      <c r="C76" s="93" t="s">
        <v>73</v>
      </c>
      <c r="D76" s="93" t="s">
        <v>74</v>
      </c>
      <c r="E76" s="93" t="s">
        <v>83</v>
      </c>
      <c r="F76" s="93" t="s">
        <v>144</v>
      </c>
      <c r="G76" s="28" t="s">
        <v>54</v>
      </c>
      <c r="H76" s="511" t="s">
        <v>417</v>
      </c>
      <c r="I76" s="51" t="s">
        <v>416</v>
      </c>
      <c r="J76" s="79">
        <v>1631635500</v>
      </c>
      <c r="K76" s="505" t="s">
        <v>416</v>
      </c>
      <c r="L76" s="506">
        <v>973817078</v>
      </c>
      <c r="M76" s="92">
        <v>0</v>
      </c>
      <c r="N76" s="101">
        <v>0</v>
      </c>
      <c r="O76" s="86">
        <v>0</v>
      </c>
      <c r="P76" s="440">
        <v>0</v>
      </c>
      <c r="Q76" s="424"/>
      <c r="R76" s="440"/>
      <c r="S76" s="276"/>
      <c r="T76" s="58"/>
      <c r="U76" s="58"/>
      <c r="V76" s="66"/>
      <c r="W76" s="153">
        <v>0</v>
      </c>
      <c r="X76" s="148">
        <v>0</v>
      </c>
      <c r="Y76" s="38" t="e">
        <f t="shared" ref="Y76" si="32">SUM(W76/M76*100)</f>
        <v>#DIV/0!</v>
      </c>
      <c r="Z76" s="95" t="e">
        <f t="shared" ref="Z76" si="33">SUM(X76/N76)*100</f>
        <v>#DIV/0!</v>
      </c>
      <c r="AA76" s="505" t="s">
        <v>416</v>
      </c>
      <c r="AB76" s="61">
        <f t="shared" ref="AB76" si="34">SUM(L76+X76)</f>
        <v>973817078</v>
      </c>
      <c r="AC76" s="143">
        <v>100</v>
      </c>
      <c r="AD76" s="39">
        <f t="shared" ref="AD76" si="35">SUM(AB76/J76)*100</f>
        <v>59.683494138243496</v>
      </c>
      <c r="AE76" s="160"/>
      <c r="AF76" s="300"/>
      <c r="AG76" s="482"/>
      <c r="AH76" s="486"/>
      <c r="AI76" s="486"/>
    </row>
    <row r="77" spans="1:35" s="163" customFormat="1" ht="84" customHeight="1" x14ac:dyDescent="0.25">
      <c r="A77" s="162"/>
      <c r="B77" s="299" t="s">
        <v>139</v>
      </c>
      <c r="C77" s="299" t="s">
        <v>73</v>
      </c>
      <c r="D77" s="299" t="s">
        <v>74</v>
      </c>
      <c r="E77" s="299" t="s">
        <v>83</v>
      </c>
      <c r="F77" s="299" t="s">
        <v>85</v>
      </c>
      <c r="G77" s="28" t="s">
        <v>56</v>
      </c>
      <c r="H77" s="288" t="s">
        <v>55</v>
      </c>
      <c r="I77" s="33">
        <v>22</v>
      </c>
      <c r="J77" s="79">
        <v>3429356772</v>
      </c>
      <c r="K77" s="358">
        <v>15</v>
      </c>
      <c r="L77" s="58">
        <f>1536785340+439283430</f>
        <v>1976068770</v>
      </c>
      <c r="M77" s="92">
        <v>7</v>
      </c>
      <c r="N77" s="34">
        <v>412540000</v>
      </c>
      <c r="O77" s="86"/>
      <c r="P77" s="439">
        <v>112004982</v>
      </c>
      <c r="Q77" s="86"/>
      <c r="R77" s="439"/>
      <c r="S77" s="68"/>
      <c r="T77" s="58"/>
      <c r="U77" s="68"/>
      <c r="V77" s="58"/>
      <c r="W77" s="45">
        <f t="shared" si="21"/>
        <v>0</v>
      </c>
      <c r="X77" s="32">
        <f t="shared" si="23"/>
        <v>112004982</v>
      </c>
      <c r="Y77" s="38">
        <f t="shared" si="4"/>
        <v>0</v>
      </c>
      <c r="Z77" s="168">
        <f t="shared" si="24"/>
        <v>27.150090173074126</v>
      </c>
      <c r="AA77" s="338">
        <f t="shared" si="6"/>
        <v>15</v>
      </c>
      <c r="AB77" s="58">
        <f t="shared" si="26"/>
        <v>2088073752</v>
      </c>
      <c r="AC77" s="143">
        <f t="shared" si="7"/>
        <v>68.181818181818173</v>
      </c>
      <c r="AD77" s="159">
        <f t="shared" ref="AD77:AD118" si="36">SUM(AB77/J77)*100</f>
        <v>60.888204139292156</v>
      </c>
      <c r="AE77" s="160" t="s">
        <v>281</v>
      </c>
      <c r="AF77" s="304"/>
      <c r="AG77" s="478"/>
      <c r="AH77" s="486"/>
      <c r="AI77" s="486"/>
    </row>
    <row r="78" spans="1:35" s="163" customFormat="1" ht="113.25" customHeight="1" x14ac:dyDescent="0.25">
      <c r="A78" s="162"/>
      <c r="B78" s="299" t="s">
        <v>139</v>
      </c>
      <c r="C78" s="299" t="s">
        <v>73</v>
      </c>
      <c r="D78" s="299" t="s">
        <v>74</v>
      </c>
      <c r="E78" s="299" t="s">
        <v>83</v>
      </c>
      <c r="F78" s="299" t="s">
        <v>90</v>
      </c>
      <c r="G78" s="49" t="s">
        <v>58</v>
      </c>
      <c r="H78" s="288" t="s">
        <v>57</v>
      </c>
      <c r="I78" s="33">
        <v>32</v>
      </c>
      <c r="J78" s="79">
        <v>550580000</v>
      </c>
      <c r="K78" s="353">
        <v>32</v>
      </c>
      <c r="L78" s="58">
        <v>429320000</v>
      </c>
      <c r="M78" s="306">
        <v>0</v>
      </c>
      <c r="N78" s="66">
        <v>0</v>
      </c>
      <c r="O78" s="263"/>
      <c r="P78" s="400"/>
      <c r="Q78" s="387"/>
      <c r="R78" s="402"/>
      <c r="S78" s="276"/>
      <c r="T78" s="58"/>
      <c r="U78" s="66"/>
      <c r="V78" s="66"/>
      <c r="W78" s="153">
        <f t="shared" si="21"/>
        <v>0</v>
      </c>
      <c r="X78" s="50">
        <v>0</v>
      </c>
      <c r="Y78" s="38" t="e">
        <f t="shared" si="4"/>
        <v>#DIV/0!</v>
      </c>
      <c r="Z78" s="168">
        <v>0</v>
      </c>
      <c r="AA78" s="338">
        <f t="shared" si="6"/>
        <v>32</v>
      </c>
      <c r="AB78" s="58">
        <f t="shared" si="26"/>
        <v>429320000</v>
      </c>
      <c r="AC78" s="143">
        <f t="shared" si="7"/>
        <v>100</v>
      </c>
      <c r="AD78" s="159">
        <f t="shared" si="36"/>
        <v>77.975952631770127</v>
      </c>
      <c r="AE78" s="160" t="s">
        <v>281</v>
      </c>
      <c r="AF78" s="304"/>
      <c r="AG78" s="478"/>
      <c r="AH78" s="486"/>
      <c r="AI78" s="486"/>
    </row>
    <row r="79" spans="1:35" s="163" customFormat="1" ht="74.25" customHeight="1" x14ac:dyDescent="0.25">
      <c r="A79" s="162"/>
      <c r="B79" s="299" t="s">
        <v>139</v>
      </c>
      <c r="C79" s="299" t="s">
        <v>73</v>
      </c>
      <c r="D79" s="299" t="s">
        <v>74</v>
      </c>
      <c r="E79" s="299" t="s">
        <v>83</v>
      </c>
      <c r="F79" s="299" t="s">
        <v>145</v>
      </c>
      <c r="G79" s="28" t="s">
        <v>60</v>
      </c>
      <c r="H79" s="288" t="s">
        <v>59</v>
      </c>
      <c r="I79" s="33">
        <v>37</v>
      </c>
      <c r="J79" s="307">
        <v>2709321278</v>
      </c>
      <c r="K79" s="353">
        <v>28</v>
      </c>
      <c r="L79" s="58">
        <f>870041500+191251100</f>
        <v>1061292600</v>
      </c>
      <c r="M79" s="33">
        <v>3</v>
      </c>
      <c r="N79" s="34">
        <v>351260000</v>
      </c>
      <c r="O79" s="86">
        <v>0</v>
      </c>
      <c r="P79" s="439">
        <v>0</v>
      </c>
      <c r="Q79" s="86"/>
      <c r="R79" s="439"/>
      <c r="S79" s="73"/>
      <c r="T79" s="58"/>
      <c r="U79" s="68"/>
      <c r="V79" s="58"/>
      <c r="W79" s="153">
        <f t="shared" si="21"/>
        <v>0</v>
      </c>
      <c r="X79" s="32">
        <f>SUM(P79+R79+T79+V79)</f>
        <v>0</v>
      </c>
      <c r="Y79" s="38">
        <f t="shared" si="4"/>
        <v>0</v>
      </c>
      <c r="Z79" s="168">
        <f t="shared" si="24"/>
        <v>0</v>
      </c>
      <c r="AA79" s="338">
        <f t="shared" si="6"/>
        <v>28</v>
      </c>
      <c r="AB79" s="58">
        <f t="shared" si="26"/>
        <v>1061292600</v>
      </c>
      <c r="AC79" s="143">
        <f t="shared" si="7"/>
        <v>75.675675675675677</v>
      </c>
      <c r="AD79" s="159">
        <f t="shared" si="36"/>
        <v>39.17189919917648</v>
      </c>
      <c r="AE79" s="160" t="s">
        <v>281</v>
      </c>
      <c r="AF79" s="304"/>
      <c r="AG79" s="478"/>
      <c r="AH79" s="486"/>
      <c r="AI79" s="486"/>
    </row>
    <row r="80" spans="1:35" s="163" customFormat="1" ht="87" customHeight="1" x14ac:dyDescent="0.25">
      <c r="A80" s="162"/>
      <c r="B80" s="299" t="s">
        <v>139</v>
      </c>
      <c r="C80" s="299" t="s">
        <v>73</v>
      </c>
      <c r="D80" s="299" t="s">
        <v>74</v>
      </c>
      <c r="E80" s="299" t="s">
        <v>83</v>
      </c>
      <c r="F80" s="299" t="s">
        <v>146</v>
      </c>
      <c r="G80" s="28" t="s">
        <v>105</v>
      </c>
      <c r="H80" s="288" t="s">
        <v>61</v>
      </c>
      <c r="I80" s="33">
        <v>5</v>
      </c>
      <c r="J80" s="507">
        <v>4115783691</v>
      </c>
      <c r="K80" s="359">
        <v>4</v>
      </c>
      <c r="L80" s="58">
        <f>1426833000+362430900</f>
        <v>1789263900</v>
      </c>
      <c r="M80" s="33">
        <v>1</v>
      </c>
      <c r="N80" s="34">
        <v>308990300</v>
      </c>
      <c r="O80" s="424"/>
      <c r="P80" s="439">
        <v>153220750</v>
      </c>
      <c r="Q80" s="86"/>
      <c r="R80" s="439"/>
      <c r="S80" s="274"/>
      <c r="T80" s="58"/>
      <c r="U80" s="68"/>
      <c r="V80" s="58"/>
      <c r="W80" s="153">
        <f t="shared" si="21"/>
        <v>0</v>
      </c>
      <c r="X80" s="32">
        <f>SUM(P80+R80+T80+V80)</f>
        <v>153220750</v>
      </c>
      <c r="Y80" s="38">
        <f t="shared" si="4"/>
        <v>0</v>
      </c>
      <c r="Z80" s="168">
        <f t="shared" si="24"/>
        <v>49.587559868384218</v>
      </c>
      <c r="AA80" s="338">
        <f t="shared" si="6"/>
        <v>4</v>
      </c>
      <c r="AB80" s="58">
        <f t="shared" si="26"/>
        <v>1942484650</v>
      </c>
      <c r="AC80" s="143">
        <f t="shared" si="7"/>
        <v>80</v>
      </c>
      <c r="AD80" s="159">
        <f t="shared" si="36"/>
        <v>47.195984916496911</v>
      </c>
      <c r="AE80" s="160" t="s">
        <v>281</v>
      </c>
      <c r="AF80" s="304"/>
      <c r="AG80" s="478"/>
      <c r="AH80" s="486"/>
      <c r="AI80" s="486"/>
    </row>
    <row r="81" spans="1:35" s="163" customFormat="1" ht="86.25" customHeight="1" x14ac:dyDescent="0.25">
      <c r="A81" s="162"/>
      <c r="B81" s="299" t="s">
        <v>139</v>
      </c>
      <c r="C81" s="299" t="s">
        <v>73</v>
      </c>
      <c r="D81" s="299" t="s">
        <v>74</v>
      </c>
      <c r="E81" s="299" t="s">
        <v>83</v>
      </c>
      <c r="F81" s="299" t="s">
        <v>147</v>
      </c>
      <c r="G81" s="28" t="s">
        <v>63</v>
      </c>
      <c r="H81" s="288" t="s">
        <v>62</v>
      </c>
      <c r="I81" s="33">
        <v>5</v>
      </c>
      <c r="J81" s="507">
        <v>1932142048</v>
      </c>
      <c r="K81" s="353">
        <v>4</v>
      </c>
      <c r="L81" s="58">
        <f>524441350+161933720</f>
        <v>686375070</v>
      </c>
      <c r="M81" s="33">
        <v>1</v>
      </c>
      <c r="N81" s="34">
        <v>266500000</v>
      </c>
      <c r="O81" s="424">
        <v>0</v>
      </c>
      <c r="P81" s="440">
        <v>0</v>
      </c>
      <c r="Q81" s="86"/>
      <c r="R81" s="439"/>
      <c r="S81" s="33"/>
      <c r="T81" s="58"/>
      <c r="U81" s="66"/>
      <c r="V81" s="66"/>
      <c r="W81" s="153">
        <f t="shared" si="21"/>
        <v>0</v>
      </c>
      <c r="X81" s="32">
        <f>SUM(P81+R81+T81+V81)</f>
        <v>0</v>
      </c>
      <c r="Y81" s="38">
        <f t="shared" si="4"/>
        <v>0</v>
      </c>
      <c r="Z81" s="168">
        <f t="shared" si="24"/>
        <v>0</v>
      </c>
      <c r="AA81" s="338">
        <f t="shared" si="6"/>
        <v>4</v>
      </c>
      <c r="AB81" s="58">
        <f t="shared" si="26"/>
        <v>686375070</v>
      </c>
      <c r="AC81" s="143">
        <f t="shared" si="7"/>
        <v>80</v>
      </c>
      <c r="AD81" s="159">
        <f t="shared" si="36"/>
        <v>35.524048074544048</v>
      </c>
      <c r="AE81" s="160" t="s">
        <v>281</v>
      </c>
      <c r="AF81" s="308"/>
      <c r="AG81" s="478"/>
      <c r="AH81" s="486"/>
      <c r="AI81" s="486"/>
    </row>
    <row r="82" spans="1:35" s="163" customFormat="1" ht="86.25" customHeight="1" x14ac:dyDescent="0.25">
      <c r="A82" s="162"/>
      <c r="B82" s="299" t="s">
        <v>139</v>
      </c>
      <c r="C82" s="299" t="s">
        <v>73</v>
      </c>
      <c r="D82" s="299" t="s">
        <v>74</v>
      </c>
      <c r="E82" s="299" t="s">
        <v>83</v>
      </c>
      <c r="F82" s="299" t="s">
        <v>148</v>
      </c>
      <c r="G82" s="28" t="s">
        <v>65</v>
      </c>
      <c r="H82" s="288" t="s">
        <v>64</v>
      </c>
      <c r="I82" s="33">
        <v>42</v>
      </c>
      <c r="J82" s="79">
        <v>1712351000</v>
      </c>
      <c r="K82" s="353">
        <v>24</v>
      </c>
      <c r="L82" s="58">
        <f>802702042+281993965</f>
        <v>1084696007</v>
      </c>
      <c r="M82" s="33">
        <v>18</v>
      </c>
      <c r="N82" s="34">
        <v>394282000</v>
      </c>
      <c r="O82" s="103"/>
      <c r="P82" s="439">
        <v>28548000</v>
      </c>
      <c r="Q82" s="103"/>
      <c r="R82" s="439"/>
      <c r="S82" s="276"/>
      <c r="T82" s="58"/>
      <c r="U82" s="68"/>
      <c r="V82" s="276"/>
      <c r="W82" s="153">
        <f t="shared" si="21"/>
        <v>0</v>
      </c>
      <c r="X82" s="32">
        <f>SUM(P82+R82+T82+V82)</f>
        <v>28548000</v>
      </c>
      <c r="Y82" s="38">
        <f t="shared" si="4"/>
        <v>0</v>
      </c>
      <c r="Z82" s="168">
        <f t="shared" si="24"/>
        <v>7.2405029902455604</v>
      </c>
      <c r="AA82" s="338">
        <f t="shared" si="6"/>
        <v>24</v>
      </c>
      <c r="AB82" s="58">
        <f t="shared" si="26"/>
        <v>1113244007</v>
      </c>
      <c r="AC82" s="143">
        <f t="shared" si="7"/>
        <v>57.142857142857139</v>
      </c>
      <c r="AD82" s="159">
        <f t="shared" si="36"/>
        <v>65.012605885125183</v>
      </c>
      <c r="AE82" s="160" t="s">
        <v>281</v>
      </c>
      <c r="AF82" s="304"/>
      <c r="AG82" s="478"/>
      <c r="AH82" s="486"/>
      <c r="AI82" s="486"/>
    </row>
    <row r="83" spans="1:35" s="163" customFormat="1" ht="87.75" customHeight="1" x14ac:dyDescent="0.25">
      <c r="A83" s="162"/>
      <c r="B83" s="299" t="s">
        <v>139</v>
      </c>
      <c r="C83" s="299" t="s">
        <v>73</v>
      </c>
      <c r="D83" s="299" t="s">
        <v>74</v>
      </c>
      <c r="E83" s="299" t="s">
        <v>83</v>
      </c>
      <c r="F83" s="299" t="s">
        <v>149</v>
      </c>
      <c r="G83" s="28" t="s">
        <v>66</v>
      </c>
      <c r="H83" s="309" t="s">
        <v>282</v>
      </c>
      <c r="I83" s="33">
        <v>6</v>
      </c>
      <c r="J83" s="79">
        <v>121705000</v>
      </c>
      <c r="K83" s="353">
        <v>24</v>
      </c>
      <c r="L83" s="58">
        <f>-138223000+658617000</f>
        <v>520394000</v>
      </c>
      <c r="M83" s="33">
        <v>1</v>
      </c>
      <c r="N83" s="34">
        <v>418500000</v>
      </c>
      <c r="O83" s="103"/>
      <c r="P83" s="439">
        <v>8000000</v>
      </c>
      <c r="Q83" s="103"/>
      <c r="R83" s="439"/>
      <c r="S83" s="276"/>
      <c r="T83" s="58"/>
      <c r="U83" s="68"/>
      <c r="V83" s="276"/>
      <c r="W83" s="153">
        <f t="shared" si="21"/>
        <v>0</v>
      </c>
      <c r="X83" s="32">
        <f>SUM(P83+R83+T83+V83)</f>
        <v>8000000</v>
      </c>
      <c r="Y83" s="38">
        <f t="shared" si="4"/>
        <v>0</v>
      </c>
      <c r="Z83" s="168">
        <f t="shared" ref="Z83" si="37">SUM(X83/N83)*100</f>
        <v>1.9115890083632019</v>
      </c>
      <c r="AA83" s="338">
        <f t="shared" ref="AA83" si="38">SUM(K83+W83)</f>
        <v>24</v>
      </c>
      <c r="AB83" s="58">
        <f t="shared" si="26"/>
        <v>528394000</v>
      </c>
      <c r="AC83" s="143">
        <f t="shared" ref="AC83" si="39">SUM(AA83/I83*100)</f>
        <v>400</v>
      </c>
      <c r="AD83" s="159">
        <f t="shared" ref="AD83" si="40">SUM(AB83/J83)*100</f>
        <v>434.15964832997827</v>
      </c>
      <c r="AE83" s="160" t="s">
        <v>281</v>
      </c>
      <c r="AF83" s="304"/>
      <c r="AG83" s="478"/>
      <c r="AH83" s="486"/>
      <c r="AI83" s="486"/>
    </row>
    <row r="84" spans="1:35" s="163" customFormat="1" ht="75.75" customHeight="1" x14ac:dyDescent="0.25">
      <c r="A84" s="162"/>
      <c r="B84" s="299" t="s">
        <v>139</v>
      </c>
      <c r="C84" s="299" t="s">
        <v>73</v>
      </c>
      <c r="D84" s="299" t="s">
        <v>74</v>
      </c>
      <c r="E84" s="299" t="s">
        <v>83</v>
      </c>
      <c r="F84" s="299" t="s">
        <v>150</v>
      </c>
      <c r="G84" s="28" t="s">
        <v>418</v>
      </c>
      <c r="H84" s="288" t="s">
        <v>67</v>
      </c>
      <c r="I84" s="33">
        <v>20</v>
      </c>
      <c r="J84" s="79">
        <v>1815656740</v>
      </c>
      <c r="K84" s="353">
        <v>16</v>
      </c>
      <c r="L84" s="58">
        <f>643622130+223661200</f>
        <v>867283330</v>
      </c>
      <c r="M84" s="103">
        <v>4</v>
      </c>
      <c r="N84" s="34">
        <v>179508000</v>
      </c>
      <c r="O84" s="424">
        <v>0</v>
      </c>
      <c r="P84" s="425">
        <v>0</v>
      </c>
      <c r="Q84" s="86"/>
      <c r="R84" s="425"/>
      <c r="S84" s="274"/>
      <c r="T84" s="58"/>
      <c r="U84" s="103"/>
      <c r="V84" s="58"/>
      <c r="W84" s="153">
        <f t="shared" si="21"/>
        <v>0</v>
      </c>
      <c r="X84" s="32">
        <f t="shared" ref="X84:X118" si="41">SUM(P84+R84+T84+V84)</f>
        <v>0</v>
      </c>
      <c r="Y84" s="38">
        <f t="shared" si="4"/>
        <v>0</v>
      </c>
      <c r="Z84" s="168">
        <f t="shared" si="24"/>
        <v>0</v>
      </c>
      <c r="AA84" s="338">
        <f t="shared" si="6"/>
        <v>16</v>
      </c>
      <c r="AB84" s="58">
        <f t="shared" si="26"/>
        <v>867283330</v>
      </c>
      <c r="AC84" s="143">
        <f t="shared" si="7"/>
        <v>80</v>
      </c>
      <c r="AD84" s="159">
        <f t="shared" si="36"/>
        <v>47.766921516233296</v>
      </c>
      <c r="AE84" s="160" t="s">
        <v>281</v>
      </c>
      <c r="AF84" s="304"/>
      <c r="AG84" s="478"/>
      <c r="AH84" s="486"/>
      <c r="AI84" s="486"/>
    </row>
    <row r="85" spans="1:35" s="163" customFormat="1" ht="118.5" customHeight="1" x14ac:dyDescent="0.25">
      <c r="A85" s="162"/>
      <c r="B85" s="299" t="s">
        <v>139</v>
      </c>
      <c r="C85" s="299" t="s">
        <v>73</v>
      </c>
      <c r="D85" s="299" t="s">
        <v>74</v>
      </c>
      <c r="E85" s="299" t="s">
        <v>83</v>
      </c>
      <c r="F85" s="299" t="s">
        <v>151</v>
      </c>
      <c r="G85" s="28" t="s">
        <v>68</v>
      </c>
      <c r="H85" s="288" t="s">
        <v>419</v>
      </c>
      <c r="I85" s="33">
        <v>5</v>
      </c>
      <c r="J85" s="79">
        <v>2781361458</v>
      </c>
      <c r="K85" s="353">
        <v>4</v>
      </c>
      <c r="L85" s="58">
        <f>801012495+153880850</f>
        <v>954893345</v>
      </c>
      <c r="M85" s="33">
        <v>1</v>
      </c>
      <c r="N85" s="34">
        <v>106437000</v>
      </c>
      <c r="O85" s="157">
        <v>0</v>
      </c>
      <c r="P85" s="439">
        <v>0</v>
      </c>
      <c r="Q85" s="285"/>
      <c r="R85" s="439"/>
      <c r="S85" s="276"/>
      <c r="T85" s="58"/>
      <c r="U85" s="276"/>
      <c r="V85" s="58"/>
      <c r="W85" s="153">
        <f t="shared" si="21"/>
        <v>0</v>
      </c>
      <c r="X85" s="32">
        <f t="shared" si="41"/>
        <v>0</v>
      </c>
      <c r="Y85" s="38">
        <f t="shared" si="4"/>
        <v>0</v>
      </c>
      <c r="Z85" s="168">
        <f t="shared" si="24"/>
        <v>0</v>
      </c>
      <c r="AA85" s="338">
        <f t="shared" si="6"/>
        <v>4</v>
      </c>
      <c r="AB85" s="58">
        <f t="shared" ref="AB85:AB118" si="42">SUM(L85+X85)</f>
        <v>954893345</v>
      </c>
      <c r="AC85" s="143">
        <f t="shared" si="7"/>
        <v>80</v>
      </c>
      <c r="AD85" s="159">
        <f t="shared" si="36"/>
        <v>34.331868022886795</v>
      </c>
      <c r="AE85" s="160" t="s">
        <v>281</v>
      </c>
      <c r="AF85" s="308"/>
      <c r="AG85" s="478"/>
      <c r="AH85" s="486"/>
      <c r="AI85" s="486"/>
    </row>
    <row r="86" spans="1:35" s="163" customFormat="1" ht="58.5" customHeight="1" x14ac:dyDescent="0.25">
      <c r="A86" s="162"/>
      <c r="B86" s="299" t="s">
        <v>139</v>
      </c>
      <c r="C86" s="299" t="s">
        <v>73</v>
      </c>
      <c r="D86" s="299" t="s">
        <v>74</v>
      </c>
      <c r="E86" s="299" t="s">
        <v>83</v>
      </c>
      <c r="F86" s="299" t="s">
        <v>152</v>
      </c>
      <c r="G86" s="28" t="s">
        <v>70</v>
      </c>
      <c r="H86" s="288" t="s">
        <v>69</v>
      </c>
      <c r="I86" s="33">
        <v>600</v>
      </c>
      <c r="J86" s="79">
        <v>3597332493</v>
      </c>
      <c r="K86" s="353">
        <v>480</v>
      </c>
      <c r="L86" s="58">
        <f>1215655420+309287200</f>
        <v>1524942620</v>
      </c>
      <c r="M86" s="33">
        <v>40</v>
      </c>
      <c r="N86" s="34">
        <v>131960000</v>
      </c>
      <c r="O86" s="424">
        <v>0</v>
      </c>
      <c r="P86" s="439">
        <v>0</v>
      </c>
      <c r="Q86" s="86"/>
      <c r="R86" s="439"/>
      <c r="S86" s="276"/>
      <c r="T86" s="58"/>
      <c r="U86" s="276"/>
      <c r="V86" s="58"/>
      <c r="W86" s="153">
        <f t="shared" si="21"/>
        <v>0</v>
      </c>
      <c r="X86" s="32">
        <f t="shared" si="41"/>
        <v>0</v>
      </c>
      <c r="Y86" s="38">
        <f t="shared" ref="Y86:Y123" si="43">SUM(W86/M86*100)</f>
        <v>0</v>
      </c>
      <c r="Z86" s="168">
        <f t="shared" si="24"/>
        <v>0</v>
      </c>
      <c r="AA86" s="338">
        <f t="shared" ref="AA86:AA123" si="44">SUM(K86+W86)</f>
        <v>480</v>
      </c>
      <c r="AB86" s="58">
        <f t="shared" si="42"/>
        <v>1524942620</v>
      </c>
      <c r="AC86" s="143">
        <f t="shared" ref="AC86:AC123" si="45">SUM(AA86/I86*100)</f>
        <v>80</v>
      </c>
      <c r="AD86" s="159">
        <f t="shared" si="36"/>
        <v>42.390927804626486</v>
      </c>
      <c r="AE86" s="160" t="s">
        <v>281</v>
      </c>
      <c r="AF86" s="304"/>
      <c r="AG86" s="478"/>
      <c r="AH86" s="486"/>
      <c r="AI86" s="486"/>
    </row>
    <row r="87" spans="1:35" s="163" customFormat="1" ht="47.25" customHeight="1" x14ac:dyDescent="0.25">
      <c r="A87" s="162"/>
      <c r="B87" s="299" t="s">
        <v>139</v>
      </c>
      <c r="C87" s="299" t="s">
        <v>73</v>
      </c>
      <c r="D87" s="299" t="s">
        <v>74</v>
      </c>
      <c r="E87" s="299" t="s">
        <v>83</v>
      </c>
      <c r="F87" s="299" t="s">
        <v>153</v>
      </c>
      <c r="G87" s="28" t="s">
        <v>99</v>
      </c>
      <c r="H87" s="288" t="s">
        <v>133</v>
      </c>
      <c r="I87" s="33">
        <v>5</v>
      </c>
      <c r="J87" s="79">
        <v>7706658209</v>
      </c>
      <c r="K87" s="353">
        <v>4</v>
      </c>
      <c r="L87" s="79">
        <f>2816799900+849727500</f>
        <v>3666527400</v>
      </c>
      <c r="M87" s="379">
        <v>1</v>
      </c>
      <c r="N87" s="34">
        <v>759011476</v>
      </c>
      <c r="O87" s="441">
        <v>0</v>
      </c>
      <c r="P87" s="439">
        <v>75385000</v>
      </c>
      <c r="Q87" s="442"/>
      <c r="R87" s="439"/>
      <c r="S87" s="302"/>
      <c r="T87" s="79"/>
      <c r="U87" s="302"/>
      <c r="V87" s="79"/>
      <c r="W87" s="153">
        <f t="shared" si="21"/>
        <v>0</v>
      </c>
      <c r="X87" s="32">
        <f t="shared" si="41"/>
        <v>75385000</v>
      </c>
      <c r="Y87" s="38">
        <f t="shared" si="43"/>
        <v>0</v>
      </c>
      <c r="Z87" s="168">
        <f t="shared" si="24"/>
        <v>9.9319973918286308</v>
      </c>
      <c r="AA87" s="338">
        <f t="shared" si="44"/>
        <v>4</v>
      </c>
      <c r="AB87" s="58">
        <f t="shared" si="42"/>
        <v>3741912400</v>
      </c>
      <c r="AC87" s="143">
        <f t="shared" si="45"/>
        <v>80</v>
      </c>
      <c r="AD87" s="159">
        <f t="shared" si="36"/>
        <v>48.554279929400721</v>
      </c>
      <c r="AE87" s="160" t="s">
        <v>281</v>
      </c>
      <c r="AF87" s="304"/>
      <c r="AG87" s="478"/>
      <c r="AH87" s="486"/>
      <c r="AI87" s="486"/>
    </row>
    <row r="88" spans="1:35" s="163" customFormat="1" ht="59.25" customHeight="1" x14ac:dyDescent="0.25">
      <c r="A88" s="162"/>
      <c r="B88" s="299" t="s">
        <v>139</v>
      </c>
      <c r="C88" s="299" t="s">
        <v>73</v>
      </c>
      <c r="D88" s="299" t="s">
        <v>74</v>
      </c>
      <c r="E88" s="299" t="s">
        <v>83</v>
      </c>
      <c r="F88" s="299" t="s">
        <v>154</v>
      </c>
      <c r="G88" s="28" t="s">
        <v>100</v>
      </c>
      <c r="H88" s="288" t="s">
        <v>134</v>
      </c>
      <c r="I88" s="33">
        <v>50</v>
      </c>
      <c r="J88" s="79">
        <v>1784385000</v>
      </c>
      <c r="K88" s="353">
        <v>40</v>
      </c>
      <c r="L88" s="79">
        <f>898041494+258821980</f>
        <v>1156863474</v>
      </c>
      <c r="M88" s="33">
        <v>10</v>
      </c>
      <c r="N88" s="34">
        <v>83400000</v>
      </c>
      <c r="O88" s="442">
        <v>0</v>
      </c>
      <c r="P88" s="439">
        <v>0</v>
      </c>
      <c r="Q88" s="442"/>
      <c r="R88" s="439"/>
      <c r="S88" s="302"/>
      <c r="T88" s="79"/>
      <c r="U88" s="302"/>
      <c r="V88" s="79"/>
      <c r="W88" s="153">
        <f t="shared" si="21"/>
        <v>0</v>
      </c>
      <c r="X88" s="32">
        <f t="shared" si="41"/>
        <v>0</v>
      </c>
      <c r="Y88" s="38">
        <f t="shared" si="43"/>
        <v>0</v>
      </c>
      <c r="Z88" s="168">
        <f t="shared" si="24"/>
        <v>0</v>
      </c>
      <c r="AA88" s="338">
        <f t="shared" si="44"/>
        <v>40</v>
      </c>
      <c r="AB88" s="58">
        <f t="shared" si="42"/>
        <v>1156863474</v>
      </c>
      <c r="AC88" s="143">
        <f>SUM(AA88/I88*100)</f>
        <v>80</v>
      </c>
      <c r="AD88" s="159">
        <f t="shared" si="36"/>
        <v>64.832615943308198</v>
      </c>
      <c r="AE88" s="160" t="s">
        <v>281</v>
      </c>
      <c r="AF88" s="304"/>
      <c r="AG88" s="478"/>
      <c r="AH88" s="486"/>
      <c r="AI88" s="486"/>
    </row>
    <row r="89" spans="1:35" s="163" customFormat="1" ht="152.25" customHeight="1" x14ac:dyDescent="0.25">
      <c r="A89" s="162"/>
      <c r="B89" s="299" t="s">
        <v>274</v>
      </c>
      <c r="C89" s="299" t="s">
        <v>73</v>
      </c>
      <c r="D89" s="299" t="s">
        <v>74</v>
      </c>
      <c r="E89" s="299" t="s">
        <v>83</v>
      </c>
      <c r="F89" s="299" t="s">
        <v>283</v>
      </c>
      <c r="G89" s="28" t="s">
        <v>284</v>
      </c>
      <c r="H89" s="309" t="s">
        <v>285</v>
      </c>
      <c r="I89" s="33">
        <v>20</v>
      </c>
      <c r="J89" s="79">
        <v>1354078310</v>
      </c>
      <c r="K89" s="353">
        <v>16</v>
      </c>
      <c r="L89" s="79">
        <f>916622000+441900000</f>
        <v>1358522000</v>
      </c>
      <c r="M89" s="33">
        <v>3</v>
      </c>
      <c r="N89" s="34">
        <v>459510000</v>
      </c>
      <c r="O89" s="442"/>
      <c r="P89" s="439"/>
      <c r="Q89" s="442"/>
      <c r="R89" s="439"/>
      <c r="S89" s="302"/>
      <c r="T89" s="79"/>
      <c r="U89" s="302"/>
      <c r="V89" s="79"/>
      <c r="W89" s="153">
        <f t="shared" si="21"/>
        <v>0</v>
      </c>
      <c r="X89" s="32">
        <f t="shared" si="41"/>
        <v>0</v>
      </c>
      <c r="Y89" s="38">
        <f t="shared" si="43"/>
        <v>0</v>
      </c>
      <c r="Z89" s="168">
        <f t="shared" si="24"/>
        <v>0</v>
      </c>
      <c r="AA89" s="338">
        <f t="shared" si="44"/>
        <v>16</v>
      </c>
      <c r="AB89" s="58">
        <f t="shared" si="42"/>
        <v>1358522000</v>
      </c>
      <c r="AC89" s="143">
        <f>SUM(AA89/I89*100)</f>
        <v>80</v>
      </c>
      <c r="AD89" s="159">
        <f t="shared" si="36"/>
        <v>100.3281708278748</v>
      </c>
      <c r="AE89" s="160" t="s">
        <v>281</v>
      </c>
      <c r="AF89" s="304"/>
      <c r="AG89" s="478"/>
      <c r="AH89" s="486"/>
      <c r="AI89" s="486"/>
    </row>
    <row r="90" spans="1:35" s="163" customFormat="1" ht="62.25" customHeight="1" x14ac:dyDescent="0.25">
      <c r="A90" s="162"/>
      <c r="B90" s="299" t="s">
        <v>139</v>
      </c>
      <c r="C90" s="299" t="s">
        <v>73</v>
      </c>
      <c r="D90" s="299" t="s">
        <v>74</v>
      </c>
      <c r="E90" s="299" t="s">
        <v>83</v>
      </c>
      <c r="F90" s="299" t="s">
        <v>93</v>
      </c>
      <c r="G90" s="105" t="s">
        <v>106</v>
      </c>
      <c r="H90" s="288" t="s">
        <v>135</v>
      </c>
      <c r="I90" s="33">
        <v>9</v>
      </c>
      <c r="J90" s="34">
        <v>573329941</v>
      </c>
      <c r="K90" s="360">
        <v>5</v>
      </c>
      <c r="L90" s="303">
        <f>137512630+18170000</f>
        <v>155682630</v>
      </c>
      <c r="M90" s="107">
        <v>1</v>
      </c>
      <c r="N90" s="34">
        <v>14850000</v>
      </c>
      <c r="O90" s="441">
        <v>0</v>
      </c>
      <c r="P90" s="439">
        <v>0</v>
      </c>
      <c r="Q90" s="442"/>
      <c r="R90" s="439"/>
      <c r="S90" s="305"/>
      <c r="T90" s="303"/>
      <c r="U90" s="108"/>
      <c r="V90" s="303"/>
      <c r="W90" s="153">
        <f t="shared" si="21"/>
        <v>0</v>
      </c>
      <c r="X90" s="32">
        <f t="shared" si="41"/>
        <v>0</v>
      </c>
      <c r="Y90" s="38">
        <f t="shared" si="43"/>
        <v>0</v>
      </c>
      <c r="Z90" s="168">
        <f t="shared" si="24"/>
        <v>0</v>
      </c>
      <c r="AA90" s="338">
        <f t="shared" si="44"/>
        <v>5</v>
      </c>
      <c r="AB90" s="58">
        <f t="shared" si="42"/>
        <v>155682630</v>
      </c>
      <c r="AC90" s="143">
        <f t="shared" si="45"/>
        <v>55.555555555555557</v>
      </c>
      <c r="AD90" s="283">
        <f t="shared" si="36"/>
        <v>27.154107760089929</v>
      </c>
      <c r="AE90" s="160" t="s">
        <v>281</v>
      </c>
      <c r="AF90" s="304"/>
      <c r="AG90" s="478"/>
      <c r="AH90" s="486"/>
      <c r="AI90" s="486"/>
    </row>
    <row r="91" spans="1:35" s="163" customFormat="1" ht="96.75" customHeight="1" x14ac:dyDescent="0.25">
      <c r="A91" s="162"/>
      <c r="B91" s="299" t="s">
        <v>139</v>
      </c>
      <c r="C91" s="299" t="s">
        <v>73</v>
      </c>
      <c r="D91" s="299" t="s">
        <v>74</v>
      </c>
      <c r="E91" s="299" t="s">
        <v>83</v>
      </c>
      <c r="F91" s="299" t="s">
        <v>155</v>
      </c>
      <c r="G91" s="105" t="s">
        <v>107</v>
      </c>
      <c r="H91" s="519" t="s">
        <v>241</v>
      </c>
      <c r="I91" s="33">
        <v>7</v>
      </c>
      <c r="J91" s="34">
        <v>2115903000</v>
      </c>
      <c r="K91" s="349">
        <v>6</v>
      </c>
      <c r="L91" s="303">
        <f>810761830+537369000</f>
        <v>1348130830</v>
      </c>
      <c r="M91" s="107">
        <v>1</v>
      </c>
      <c r="N91" s="34">
        <v>241740393</v>
      </c>
      <c r="O91" s="442"/>
      <c r="P91" s="439">
        <v>19599999</v>
      </c>
      <c r="Q91" s="442"/>
      <c r="R91" s="439"/>
      <c r="S91" s="302"/>
      <c r="T91" s="303"/>
      <c r="U91" s="104"/>
      <c r="V91" s="303"/>
      <c r="W91" s="153">
        <f t="shared" si="21"/>
        <v>0</v>
      </c>
      <c r="X91" s="32">
        <f t="shared" si="41"/>
        <v>19599999</v>
      </c>
      <c r="Y91" s="38">
        <f t="shared" si="43"/>
        <v>0</v>
      </c>
      <c r="Z91" s="168">
        <f t="shared" si="24"/>
        <v>8.1078709092691845</v>
      </c>
      <c r="AA91" s="338">
        <f t="shared" si="44"/>
        <v>6</v>
      </c>
      <c r="AB91" s="58">
        <f t="shared" si="42"/>
        <v>1367730829</v>
      </c>
      <c r="AC91" s="143">
        <f t="shared" si="45"/>
        <v>85.714285714285708</v>
      </c>
      <c r="AD91" s="159">
        <f t="shared" si="36"/>
        <v>64.640526007099581</v>
      </c>
      <c r="AE91" s="160" t="s">
        <v>281</v>
      </c>
      <c r="AF91" s="304"/>
      <c r="AG91" s="478"/>
      <c r="AH91" s="486"/>
      <c r="AI91" s="486"/>
    </row>
    <row r="92" spans="1:35" s="163" customFormat="1" ht="62.25" customHeight="1" x14ac:dyDescent="0.25">
      <c r="A92" s="162"/>
      <c r="B92" s="299" t="s">
        <v>139</v>
      </c>
      <c r="C92" s="299" t="s">
        <v>73</v>
      </c>
      <c r="D92" s="299" t="s">
        <v>74</v>
      </c>
      <c r="E92" s="299" t="s">
        <v>83</v>
      </c>
      <c r="F92" s="299" t="s">
        <v>156</v>
      </c>
      <c r="G92" s="105" t="s">
        <v>108</v>
      </c>
      <c r="H92" s="105" t="s">
        <v>136</v>
      </c>
      <c r="I92" s="107">
        <v>2</v>
      </c>
      <c r="J92" s="34">
        <v>315692000</v>
      </c>
      <c r="K92" s="349">
        <v>2</v>
      </c>
      <c r="L92" s="79">
        <v>189674400</v>
      </c>
      <c r="M92" s="164"/>
      <c r="N92" s="101"/>
      <c r="O92" s="301"/>
      <c r="P92" s="406"/>
      <c r="Q92" s="410"/>
      <c r="R92" s="386"/>
      <c r="S92" s="302"/>
      <c r="T92" s="79"/>
      <c r="U92" s="79"/>
      <c r="V92" s="79"/>
      <c r="W92" s="153">
        <f t="shared" si="21"/>
        <v>0</v>
      </c>
      <c r="X92" s="32">
        <f t="shared" si="41"/>
        <v>0</v>
      </c>
      <c r="Y92" s="38" t="e">
        <f t="shared" si="43"/>
        <v>#DIV/0!</v>
      </c>
      <c r="Z92" s="168">
        <v>0</v>
      </c>
      <c r="AA92" s="338">
        <f t="shared" si="44"/>
        <v>2</v>
      </c>
      <c r="AB92" s="58">
        <f t="shared" si="42"/>
        <v>189674400</v>
      </c>
      <c r="AC92" s="143">
        <f t="shared" si="45"/>
        <v>100</v>
      </c>
      <c r="AD92" s="159">
        <f t="shared" si="36"/>
        <v>60.08210534318259</v>
      </c>
      <c r="AE92" s="160" t="s">
        <v>281</v>
      </c>
      <c r="AF92" s="304"/>
      <c r="AG92" s="478"/>
      <c r="AH92" s="486"/>
      <c r="AI92" s="486"/>
    </row>
    <row r="93" spans="1:35" s="163" customFormat="1" ht="39" customHeight="1" x14ac:dyDescent="0.25">
      <c r="A93" s="162"/>
      <c r="B93" s="299" t="s">
        <v>139</v>
      </c>
      <c r="C93" s="299" t="s">
        <v>73</v>
      </c>
      <c r="D93" s="299" t="s">
        <v>74</v>
      </c>
      <c r="E93" s="299" t="s">
        <v>83</v>
      </c>
      <c r="F93" s="299">
        <v>45</v>
      </c>
      <c r="G93" s="105" t="s">
        <v>186</v>
      </c>
      <c r="H93" s="105" t="s">
        <v>187</v>
      </c>
      <c r="I93" s="107">
        <v>69271</v>
      </c>
      <c r="J93" s="34">
        <v>1319201000</v>
      </c>
      <c r="K93" s="377">
        <v>68578</v>
      </c>
      <c r="L93" s="303">
        <v>1254968000</v>
      </c>
      <c r="M93" s="164"/>
      <c r="N93" s="101"/>
      <c r="O93" s="301"/>
      <c r="P93" s="406"/>
      <c r="Q93" s="410"/>
      <c r="R93" s="386"/>
      <c r="S93" s="305"/>
      <c r="T93" s="79"/>
      <c r="U93" s="107"/>
      <c r="V93" s="79"/>
      <c r="W93" s="153">
        <f t="shared" si="21"/>
        <v>0</v>
      </c>
      <c r="X93" s="32">
        <f t="shared" si="41"/>
        <v>0</v>
      </c>
      <c r="Y93" s="38" t="e">
        <f t="shared" si="43"/>
        <v>#DIV/0!</v>
      </c>
      <c r="Z93" s="168">
        <v>0</v>
      </c>
      <c r="AA93" s="338">
        <f t="shared" si="44"/>
        <v>68578</v>
      </c>
      <c r="AB93" s="58">
        <f t="shared" si="42"/>
        <v>1254968000</v>
      </c>
      <c r="AC93" s="143">
        <f t="shared" si="45"/>
        <v>98.999581354390727</v>
      </c>
      <c r="AD93" s="159">
        <f t="shared" si="36"/>
        <v>95.130916365284747</v>
      </c>
      <c r="AE93" s="160" t="s">
        <v>281</v>
      </c>
      <c r="AF93" s="304"/>
      <c r="AG93" s="478"/>
      <c r="AH93" s="486"/>
      <c r="AI93" s="486"/>
    </row>
    <row r="94" spans="1:35" s="163" customFormat="1" ht="63" customHeight="1" x14ac:dyDescent="0.25">
      <c r="A94" s="162"/>
      <c r="B94" s="299" t="s">
        <v>139</v>
      </c>
      <c r="C94" s="299" t="s">
        <v>73</v>
      </c>
      <c r="D94" s="299" t="s">
        <v>74</v>
      </c>
      <c r="E94" s="299" t="s">
        <v>83</v>
      </c>
      <c r="F94" s="299" t="s">
        <v>188</v>
      </c>
      <c r="G94" s="105" t="s">
        <v>189</v>
      </c>
      <c r="H94" s="105" t="s">
        <v>190</v>
      </c>
      <c r="I94" s="33">
        <v>809372</v>
      </c>
      <c r="J94" s="34">
        <v>3728407120</v>
      </c>
      <c r="K94" s="378">
        <f>436449+133174</f>
        <v>569623</v>
      </c>
      <c r="L94" s="303">
        <f>857776200+304727750</f>
        <v>1162503950</v>
      </c>
      <c r="M94" s="107">
        <v>239749</v>
      </c>
      <c r="N94" s="34">
        <v>395380000</v>
      </c>
      <c r="O94" s="441"/>
      <c r="P94" s="439">
        <v>137585600</v>
      </c>
      <c r="Q94" s="442"/>
      <c r="R94" s="439"/>
      <c r="S94" s="104"/>
      <c r="T94" s="303"/>
      <c r="U94" s="303"/>
      <c r="V94" s="303"/>
      <c r="W94" s="153">
        <f t="shared" si="21"/>
        <v>0</v>
      </c>
      <c r="X94" s="32">
        <f t="shared" si="41"/>
        <v>137585600</v>
      </c>
      <c r="Y94" s="38">
        <f t="shared" si="43"/>
        <v>0</v>
      </c>
      <c r="Z94" s="168">
        <f t="shared" si="24"/>
        <v>34.798320602964239</v>
      </c>
      <c r="AA94" s="338">
        <f t="shared" si="44"/>
        <v>569623</v>
      </c>
      <c r="AB94" s="58">
        <f t="shared" si="42"/>
        <v>1300089550</v>
      </c>
      <c r="AC94" s="143">
        <f t="shared" si="45"/>
        <v>70.378392136125285</v>
      </c>
      <c r="AD94" s="159">
        <f t="shared" si="36"/>
        <v>34.86983873155998</v>
      </c>
      <c r="AE94" s="160" t="s">
        <v>281</v>
      </c>
      <c r="AF94" s="288"/>
      <c r="AG94" s="478"/>
      <c r="AH94" s="486"/>
      <c r="AI94" s="486"/>
    </row>
    <row r="95" spans="1:35" s="163" customFormat="1" ht="127.5" x14ac:dyDescent="0.25">
      <c r="A95" s="162"/>
      <c r="B95" s="299" t="s">
        <v>139</v>
      </c>
      <c r="C95" s="299" t="s">
        <v>73</v>
      </c>
      <c r="D95" s="299" t="s">
        <v>74</v>
      </c>
      <c r="E95" s="299" t="s">
        <v>83</v>
      </c>
      <c r="F95" s="299" t="s">
        <v>157</v>
      </c>
      <c r="G95" s="105" t="s">
        <v>109</v>
      </c>
      <c r="H95" s="105" t="s">
        <v>137</v>
      </c>
      <c r="I95" s="33">
        <v>200</v>
      </c>
      <c r="J95" s="34">
        <v>388260000</v>
      </c>
      <c r="K95" s="362">
        <v>160</v>
      </c>
      <c r="L95" s="79">
        <f>134728900+94715000</f>
        <v>229443900</v>
      </c>
      <c r="M95" s="107">
        <v>40</v>
      </c>
      <c r="N95" s="34">
        <v>20233874</v>
      </c>
      <c r="O95" s="441">
        <v>0</v>
      </c>
      <c r="P95" s="439">
        <v>0</v>
      </c>
      <c r="Q95" s="442"/>
      <c r="R95" s="439"/>
      <c r="S95" s="305"/>
      <c r="T95" s="79"/>
      <c r="U95" s="108"/>
      <c r="V95" s="303"/>
      <c r="W95" s="153">
        <f t="shared" si="21"/>
        <v>0</v>
      </c>
      <c r="X95" s="32">
        <f t="shared" si="41"/>
        <v>0</v>
      </c>
      <c r="Y95" s="38">
        <f t="shared" si="43"/>
        <v>0</v>
      </c>
      <c r="Z95" s="168">
        <f t="shared" si="24"/>
        <v>0</v>
      </c>
      <c r="AA95" s="338">
        <f t="shared" si="44"/>
        <v>160</v>
      </c>
      <c r="AB95" s="58">
        <f t="shared" si="42"/>
        <v>229443900</v>
      </c>
      <c r="AC95" s="143">
        <f t="shared" si="45"/>
        <v>80</v>
      </c>
      <c r="AD95" s="159">
        <f t="shared" si="36"/>
        <v>59.095425745634365</v>
      </c>
      <c r="AE95" s="160" t="s">
        <v>281</v>
      </c>
      <c r="AF95" s="304"/>
      <c r="AG95" s="478"/>
      <c r="AH95" s="490" t="s">
        <v>382</v>
      </c>
      <c r="AI95" s="493" t="s">
        <v>383</v>
      </c>
    </row>
    <row r="96" spans="1:35" s="163" customFormat="1" ht="60" customHeight="1" x14ac:dyDescent="0.25">
      <c r="A96" s="162"/>
      <c r="B96" s="299" t="s">
        <v>139</v>
      </c>
      <c r="C96" s="299" t="s">
        <v>73</v>
      </c>
      <c r="D96" s="299" t="s">
        <v>74</v>
      </c>
      <c r="E96" s="299" t="s">
        <v>83</v>
      </c>
      <c r="F96" s="299" t="s">
        <v>158</v>
      </c>
      <c r="G96" s="105" t="s">
        <v>110</v>
      </c>
      <c r="H96" s="105" t="s">
        <v>252</v>
      </c>
      <c r="I96" s="33">
        <v>7</v>
      </c>
      <c r="J96" s="101">
        <v>655931944</v>
      </c>
      <c r="K96" s="358">
        <v>6</v>
      </c>
      <c r="L96" s="79">
        <f>185619714+117181149</f>
        <v>302800863</v>
      </c>
      <c r="M96" s="107">
        <v>1</v>
      </c>
      <c r="N96" s="34">
        <v>381500000</v>
      </c>
      <c r="O96" s="442"/>
      <c r="P96" s="439">
        <v>24848000</v>
      </c>
      <c r="Q96" s="442"/>
      <c r="R96" s="439"/>
      <c r="S96" s="104"/>
      <c r="T96" s="79"/>
      <c r="U96" s="104"/>
      <c r="V96" s="79"/>
      <c r="W96" s="153">
        <f t="shared" si="21"/>
        <v>0</v>
      </c>
      <c r="X96" s="32">
        <f t="shared" si="41"/>
        <v>24848000</v>
      </c>
      <c r="Y96" s="38">
        <f>SUM(W96/M96*100)</f>
        <v>0</v>
      </c>
      <c r="Z96" s="168">
        <f t="shared" si="24"/>
        <v>6.5132372214941014</v>
      </c>
      <c r="AA96" s="338">
        <f t="shared" si="44"/>
        <v>6</v>
      </c>
      <c r="AB96" s="58">
        <f t="shared" si="42"/>
        <v>327648863</v>
      </c>
      <c r="AC96" s="143">
        <f t="shared" si="45"/>
        <v>85.714285714285708</v>
      </c>
      <c r="AD96" s="159">
        <f t="shared" si="36"/>
        <v>49.951655197936205</v>
      </c>
      <c r="AE96" s="160" t="s">
        <v>281</v>
      </c>
      <c r="AF96" s="304"/>
      <c r="AG96" s="478"/>
      <c r="AH96" s="486"/>
      <c r="AI96" s="486"/>
    </row>
    <row r="97" spans="1:35" s="163" customFormat="1" ht="63" customHeight="1" x14ac:dyDescent="0.25">
      <c r="A97" s="162"/>
      <c r="B97" s="299" t="s">
        <v>139</v>
      </c>
      <c r="C97" s="299" t="s">
        <v>73</v>
      </c>
      <c r="D97" s="299" t="s">
        <v>74</v>
      </c>
      <c r="E97" s="299" t="s">
        <v>83</v>
      </c>
      <c r="F97" s="299" t="s">
        <v>246</v>
      </c>
      <c r="G97" s="105" t="s">
        <v>247</v>
      </c>
      <c r="H97" s="105" t="s">
        <v>261</v>
      </c>
      <c r="I97" s="502">
        <v>153.65899999999999</v>
      </c>
      <c r="J97" s="101">
        <v>7614655000</v>
      </c>
      <c r="K97" s="495">
        <v>109843</v>
      </c>
      <c r="L97" s="32">
        <f>2545335650+3165647050</f>
        <v>5710982700</v>
      </c>
      <c r="M97" s="107">
        <v>43816</v>
      </c>
      <c r="N97" s="34">
        <v>1010210970</v>
      </c>
      <c r="O97" s="441">
        <v>0</v>
      </c>
      <c r="P97" s="439">
        <v>0</v>
      </c>
      <c r="Q97" s="442"/>
      <c r="R97" s="439"/>
      <c r="S97" s="302"/>
      <c r="T97" s="79"/>
      <c r="U97" s="79"/>
      <c r="V97" s="79"/>
      <c r="W97" s="153">
        <f t="shared" si="21"/>
        <v>0</v>
      </c>
      <c r="X97" s="32">
        <f t="shared" si="41"/>
        <v>0</v>
      </c>
      <c r="Y97" s="38">
        <f t="shared" si="43"/>
        <v>0</v>
      </c>
      <c r="Z97" s="168">
        <f t="shared" si="24"/>
        <v>0</v>
      </c>
      <c r="AA97" s="338">
        <f t="shared" si="44"/>
        <v>109843</v>
      </c>
      <c r="AB97" s="58">
        <f t="shared" si="42"/>
        <v>5710982700</v>
      </c>
      <c r="AC97" s="143">
        <f t="shared" si="45"/>
        <v>71484.911394711671</v>
      </c>
      <c r="AD97" s="159">
        <f t="shared" si="36"/>
        <v>74.999887716515062</v>
      </c>
      <c r="AE97" s="160" t="s">
        <v>281</v>
      </c>
      <c r="AF97" s="304"/>
      <c r="AG97" s="478"/>
      <c r="AH97" s="489"/>
      <c r="AI97" s="486"/>
    </row>
    <row r="98" spans="1:35" s="163" customFormat="1" ht="40.5" hidden="1" x14ac:dyDescent="0.25">
      <c r="A98" s="162"/>
      <c r="B98" s="299" t="s">
        <v>274</v>
      </c>
      <c r="C98" s="299" t="s">
        <v>73</v>
      </c>
      <c r="D98" s="299" t="s">
        <v>74</v>
      </c>
      <c r="E98" s="299" t="s">
        <v>83</v>
      </c>
      <c r="F98" s="299" t="s">
        <v>403</v>
      </c>
      <c r="G98" s="105" t="s">
        <v>405</v>
      </c>
      <c r="H98" s="504" t="s">
        <v>404</v>
      </c>
      <c r="I98" s="33" t="s">
        <v>406</v>
      </c>
      <c r="J98" s="101"/>
      <c r="K98" s="495" t="s">
        <v>104</v>
      </c>
      <c r="L98" s="32" t="s">
        <v>104</v>
      </c>
      <c r="M98" s="107" t="s">
        <v>104</v>
      </c>
      <c r="N98" s="34" t="s">
        <v>104</v>
      </c>
      <c r="O98" s="442" t="s">
        <v>104</v>
      </c>
      <c r="P98" s="439" t="s">
        <v>104</v>
      </c>
      <c r="Q98" s="442"/>
      <c r="R98" s="439"/>
      <c r="S98" s="302"/>
      <c r="T98" s="79"/>
      <c r="U98" s="79"/>
      <c r="V98" s="79"/>
      <c r="W98" s="153" t="s">
        <v>104</v>
      </c>
      <c r="X98" s="32" t="s">
        <v>104</v>
      </c>
      <c r="Y98" s="38" t="s">
        <v>104</v>
      </c>
      <c r="Z98" s="168" t="s">
        <v>104</v>
      </c>
      <c r="AA98" s="338" t="s">
        <v>104</v>
      </c>
      <c r="AB98" s="58" t="s">
        <v>104</v>
      </c>
      <c r="AC98" s="143" t="s">
        <v>104</v>
      </c>
      <c r="AD98" s="159" t="s">
        <v>104</v>
      </c>
      <c r="AE98" s="160" t="s">
        <v>104</v>
      </c>
      <c r="AF98" s="304"/>
      <c r="AG98" s="478"/>
      <c r="AH98" s="489" t="s">
        <v>104</v>
      </c>
      <c r="AI98" s="486" t="s">
        <v>104</v>
      </c>
    </row>
    <row r="99" spans="1:35" s="163" customFormat="1" ht="127.5" customHeight="1" x14ac:dyDescent="0.25">
      <c r="A99" s="162"/>
      <c r="B99" s="299" t="s">
        <v>139</v>
      </c>
      <c r="C99" s="299" t="s">
        <v>73</v>
      </c>
      <c r="D99" s="299" t="s">
        <v>74</v>
      </c>
      <c r="E99" s="299" t="s">
        <v>83</v>
      </c>
      <c r="F99" s="299" t="s">
        <v>159</v>
      </c>
      <c r="G99" s="105" t="s">
        <v>111</v>
      </c>
      <c r="H99" s="65" t="s">
        <v>242</v>
      </c>
      <c r="I99" s="44" t="s">
        <v>412</v>
      </c>
      <c r="J99" s="34">
        <v>1911567861</v>
      </c>
      <c r="K99" s="363" t="s">
        <v>413</v>
      </c>
      <c r="L99" s="32">
        <f>505785000+85026000</f>
        <v>590811000</v>
      </c>
      <c r="M99" s="363" t="s">
        <v>414</v>
      </c>
      <c r="N99" s="34">
        <v>130200000</v>
      </c>
      <c r="O99" s="431">
        <v>0</v>
      </c>
      <c r="P99" s="439">
        <v>0</v>
      </c>
      <c r="Q99" s="422"/>
      <c r="R99" s="439"/>
      <c r="S99" s="45"/>
      <c r="T99" s="32"/>
      <c r="U99" s="45"/>
      <c r="V99" s="32"/>
      <c r="W99" s="153">
        <f t="shared" si="21"/>
        <v>0</v>
      </c>
      <c r="X99" s="32">
        <f t="shared" si="41"/>
        <v>0</v>
      </c>
      <c r="Y99" s="38">
        <f>((0/2000*100)+(0/50*100))/2</f>
        <v>0</v>
      </c>
      <c r="Z99" s="168">
        <f t="shared" si="24"/>
        <v>0</v>
      </c>
      <c r="AA99" s="363" t="s">
        <v>415</v>
      </c>
      <c r="AB99" s="58">
        <f t="shared" si="42"/>
        <v>590811000</v>
      </c>
      <c r="AC99" s="503">
        <f>((7/9*100)+(4500/30000*100)+(108/158*100))/3</f>
        <v>53.710736052508203</v>
      </c>
      <c r="AD99" s="159">
        <f t="shared" si="36"/>
        <v>30.907142354388011</v>
      </c>
      <c r="AE99" s="160" t="s">
        <v>281</v>
      </c>
      <c r="AF99" s="308"/>
      <c r="AG99" s="478"/>
      <c r="AH99" s="490" t="s">
        <v>384</v>
      </c>
      <c r="AI99" s="493" t="s">
        <v>385</v>
      </c>
    </row>
    <row r="100" spans="1:35" s="163" customFormat="1" ht="57" customHeight="1" x14ac:dyDescent="0.25">
      <c r="A100" s="162"/>
      <c r="B100" s="299" t="s">
        <v>139</v>
      </c>
      <c r="C100" s="299" t="s">
        <v>73</v>
      </c>
      <c r="D100" s="299" t="s">
        <v>74</v>
      </c>
      <c r="E100" s="299" t="s">
        <v>83</v>
      </c>
      <c r="F100" s="299" t="s">
        <v>160</v>
      </c>
      <c r="G100" s="105" t="s">
        <v>71</v>
      </c>
      <c r="H100" s="519" t="s">
        <v>243</v>
      </c>
      <c r="I100" s="500" t="s">
        <v>407</v>
      </c>
      <c r="J100" s="34">
        <v>1221020000</v>
      </c>
      <c r="K100" s="500" t="s">
        <v>408</v>
      </c>
      <c r="L100" s="32">
        <f>428618540+235770000</f>
        <v>664388540</v>
      </c>
      <c r="M100" s="107">
        <v>1</v>
      </c>
      <c r="N100" s="34">
        <v>154081000</v>
      </c>
      <c r="O100" s="422">
        <v>1</v>
      </c>
      <c r="P100" s="439">
        <v>141553000</v>
      </c>
      <c r="Q100" s="422"/>
      <c r="R100" s="439"/>
      <c r="S100" s="74"/>
      <c r="T100" s="32"/>
      <c r="U100" s="50"/>
      <c r="V100" s="32"/>
      <c r="W100" s="153">
        <v>1</v>
      </c>
      <c r="X100" s="32">
        <f t="shared" si="41"/>
        <v>141553000</v>
      </c>
      <c r="Y100" s="38">
        <f t="shared" si="43"/>
        <v>100</v>
      </c>
      <c r="Z100" s="168">
        <f t="shared" si="24"/>
        <v>91.869211648418698</v>
      </c>
      <c r="AA100" s="500" t="s">
        <v>407</v>
      </c>
      <c r="AB100" s="58">
        <f t="shared" si="42"/>
        <v>805941540</v>
      </c>
      <c r="AC100" s="143">
        <f>((55/55*100)+(4/4*100))/2</f>
        <v>100</v>
      </c>
      <c r="AD100" s="159">
        <f t="shared" si="36"/>
        <v>66.005596959918762</v>
      </c>
      <c r="AE100" s="160" t="s">
        <v>281</v>
      </c>
      <c r="AF100" s="304"/>
      <c r="AG100" s="478"/>
      <c r="AH100" s="486"/>
      <c r="AI100" s="486"/>
    </row>
    <row r="101" spans="1:35" s="163" customFormat="1" ht="58.5" customHeight="1" x14ac:dyDescent="0.25">
      <c r="A101" s="162"/>
      <c r="B101" s="299" t="s">
        <v>139</v>
      </c>
      <c r="C101" s="299" t="s">
        <v>73</v>
      </c>
      <c r="D101" s="299" t="s">
        <v>74</v>
      </c>
      <c r="E101" s="299" t="s">
        <v>83</v>
      </c>
      <c r="F101" s="299" t="s">
        <v>161</v>
      </c>
      <c r="G101" s="105" t="s">
        <v>72</v>
      </c>
      <c r="H101" s="519" t="s">
        <v>138</v>
      </c>
      <c r="I101" s="44">
        <v>30</v>
      </c>
      <c r="J101" s="34">
        <v>2028976500</v>
      </c>
      <c r="K101" s="362">
        <v>24</v>
      </c>
      <c r="L101" s="32">
        <f>705164000+275800000</f>
        <v>980964000</v>
      </c>
      <c r="M101" s="107">
        <v>6</v>
      </c>
      <c r="N101" s="34">
        <v>237999131</v>
      </c>
      <c r="O101" s="431">
        <v>0</v>
      </c>
      <c r="P101" s="439">
        <v>0</v>
      </c>
      <c r="Q101" s="422"/>
      <c r="R101" s="439"/>
      <c r="S101" s="173"/>
      <c r="T101" s="32"/>
      <c r="U101" s="50"/>
      <c r="V101" s="50"/>
      <c r="W101" s="153">
        <f t="shared" si="21"/>
        <v>0</v>
      </c>
      <c r="X101" s="32">
        <f t="shared" si="41"/>
        <v>0</v>
      </c>
      <c r="Y101" s="38">
        <f t="shared" si="43"/>
        <v>0</v>
      </c>
      <c r="Z101" s="168">
        <f t="shared" si="24"/>
        <v>0</v>
      </c>
      <c r="AA101" s="338">
        <f t="shared" si="44"/>
        <v>24</v>
      </c>
      <c r="AB101" s="58">
        <f t="shared" si="42"/>
        <v>980964000</v>
      </c>
      <c r="AC101" s="143">
        <f t="shared" si="45"/>
        <v>80</v>
      </c>
      <c r="AD101" s="159">
        <f t="shared" si="36"/>
        <v>48.347726057941038</v>
      </c>
      <c r="AE101" s="160" t="s">
        <v>281</v>
      </c>
      <c r="AF101" s="304"/>
      <c r="AG101" s="478"/>
      <c r="AH101" s="486"/>
      <c r="AI101" s="486"/>
    </row>
    <row r="102" spans="1:35" s="163" customFormat="1" ht="60" hidden="1" customHeight="1" x14ac:dyDescent="0.25">
      <c r="A102" s="162"/>
      <c r="B102" s="299" t="s">
        <v>274</v>
      </c>
      <c r="C102" s="299" t="s">
        <v>73</v>
      </c>
      <c r="D102" s="299" t="s">
        <v>74</v>
      </c>
      <c r="E102" s="299" t="s">
        <v>83</v>
      </c>
      <c r="F102" s="299" t="s">
        <v>409</v>
      </c>
      <c r="G102" s="105" t="s">
        <v>410</v>
      </c>
      <c r="H102" s="519" t="s">
        <v>411</v>
      </c>
      <c r="I102" s="44">
        <v>5</v>
      </c>
      <c r="J102" s="499">
        <v>610510000</v>
      </c>
      <c r="K102" s="362" t="s">
        <v>104</v>
      </c>
      <c r="L102" s="32" t="s">
        <v>104</v>
      </c>
      <c r="M102" s="107" t="s">
        <v>104</v>
      </c>
      <c r="N102" s="34" t="s">
        <v>104</v>
      </c>
      <c r="O102" s="422" t="s">
        <v>104</v>
      </c>
      <c r="P102" s="439" t="s">
        <v>104</v>
      </c>
      <c r="Q102" s="422"/>
      <c r="R102" s="439"/>
      <c r="S102" s="173"/>
      <c r="T102" s="32"/>
      <c r="U102" s="50"/>
      <c r="V102" s="50"/>
      <c r="W102" s="153" t="s">
        <v>104</v>
      </c>
      <c r="X102" s="32" t="s">
        <v>104</v>
      </c>
      <c r="Y102" s="38" t="s">
        <v>104</v>
      </c>
      <c r="Z102" s="168" t="s">
        <v>104</v>
      </c>
      <c r="AA102" s="338" t="s">
        <v>104</v>
      </c>
      <c r="AB102" s="58" t="s">
        <v>104</v>
      </c>
      <c r="AC102" s="143" t="s">
        <v>104</v>
      </c>
      <c r="AD102" s="159" t="s">
        <v>104</v>
      </c>
      <c r="AE102" s="160" t="s">
        <v>104</v>
      </c>
      <c r="AF102" s="304"/>
      <c r="AG102" s="478"/>
      <c r="AH102" s="486"/>
      <c r="AI102" s="486"/>
    </row>
    <row r="103" spans="1:35" s="163" customFormat="1" ht="54.75" customHeight="1" x14ac:dyDescent="0.25">
      <c r="A103" s="162"/>
      <c r="B103" s="299" t="s">
        <v>139</v>
      </c>
      <c r="C103" s="299" t="s">
        <v>73</v>
      </c>
      <c r="D103" s="299" t="s">
        <v>74</v>
      </c>
      <c r="E103" s="299" t="s">
        <v>83</v>
      </c>
      <c r="F103" s="299" t="s">
        <v>191</v>
      </c>
      <c r="G103" s="105" t="s">
        <v>192</v>
      </c>
      <c r="H103" s="519" t="s">
        <v>193</v>
      </c>
      <c r="I103" s="44">
        <v>20</v>
      </c>
      <c r="J103" s="310">
        <v>1392300000</v>
      </c>
      <c r="K103" s="361">
        <v>14</v>
      </c>
      <c r="L103" s="50">
        <f>385850000+111913000</f>
        <v>497763000</v>
      </c>
      <c r="M103" s="164" t="s">
        <v>401</v>
      </c>
      <c r="N103" s="34">
        <v>179012754</v>
      </c>
      <c r="O103" s="431">
        <v>0</v>
      </c>
      <c r="P103" s="439">
        <v>0</v>
      </c>
      <c r="Q103" s="422"/>
      <c r="R103" s="439"/>
      <c r="S103" s="107"/>
      <c r="T103" s="32"/>
      <c r="U103" s="164"/>
      <c r="V103" s="32"/>
      <c r="W103" s="153">
        <f t="shared" si="21"/>
        <v>0</v>
      </c>
      <c r="X103" s="32">
        <f t="shared" si="41"/>
        <v>0</v>
      </c>
      <c r="Y103" s="38">
        <f t="shared" si="43"/>
        <v>0</v>
      </c>
      <c r="Z103" s="168">
        <f t="shared" si="24"/>
        <v>0</v>
      </c>
      <c r="AA103" s="338">
        <f t="shared" si="44"/>
        <v>14</v>
      </c>
      <c r="AB103" s="58">
        <f t="shared" si="42"/>
        <v>497763000</v>
      </c>
      <c r="AC103" s="143">
        <f t="shared" si="45"/>
        <v>70</v>
      </c>
      <c r="AD103" s="159">
        <f t="shared" si="36"/>
        <v>35.751131221719454</v>
      </c>
      <c r="AE103" s="160" t="s">
        <v>281</v>
      </c>
      <c r="AF103" s="304"/>
      <c r="AG103" s="478"/>
      <c r="AH103" s="486"/>
      <c r="AI103" s="486"/>
    </row>
    <row r="104" spans="1:35" s="163" customFormat="1" ht="77.25" customHeight="1" x14ac:dyDescent="0.25">
      <c r="A104" s="162"/>
      <c r="B104" s="299" t="s">
        <v>139</v>
      </c>
      <c r="C104" s="299" t="s">
        <v>73</v>
      </c>
      <c r="D104" s="299" t="s">
        <v>74</v>
      </c>
      <c r="E104" s="299" t="s">
        <v>83</v>
      </c>
      <c r="F104" s="299" t="s">
        <v>194</v>
      </c>
      <c r="G104" s="105" t="s">
        <v>195</v>
      </c>
      <c r="H104" s="308" t="s">
        <v>196</v>
      </c>
      <c r="I104" s="44">
        <v>12</v>
      </c>
      <c r="J104" s="310">
        <v>654429731</v>
      </c>
      <c r="K104" s="361">
        <f>5+3</f>
        <v>8</v>
      </c>
      <c r="L104" s="50">
        <f>180270500+270966000</f>
        <v>451236500</v>
      </c>
      <c r="M104" s="92" t="s">
        <v>402</v>
      </c>
      <c r="N104" s="34">
        <v>311010000</v>
      </c>
      <c r="O104" s="431"/>
      <c r="P104" s="439">
        <v>102980000</v>
      </c>
      <c r="Q104" s="422"/>
      <c r="R104" s="439"/>
      <c r="S104" s="173"/>
      <c r="T104" s="32"/>
      <c r="U104" s="32"/>
      <c r="V104" s="50"/>
      <c r="W104" s="153">
        <f t="shared" si="21"/>
        <v>0</v>
      </c>
      <c r="X104" s="32">
        <f t="shared" si="41"/>
        <v>102980000</v>
      </c>
      <c r="Y104" s="38">
        <f t="shared" si="43"/>
        <v>0</v>
      </c>
      <c r="Z104" s="168">
        <f t="shared" si="24"/>
        <v>33.111475515256743</v>
      </c>
      <c r="AA104" s="338">
        <f t="shared" si="44"/>
        <v>8</v>
      </c>
      <c r="AB104" s="58">
        <f t="shared" si="42"/>
        <v>554216500</v>
      </c>
      <c r="AC104" s="143">
        <f t="shared" si="45"/>
        <v>66.666666666666657</v>
      </c>
      <c r="AD104" s="159">
        <f t="shared" si="36"/>
        <v>84.686937916639366</v>
      </c>
      <c r="AE104" s="160" t="s">
        <v>281</v>
      </c>
      <c r="AF104" s="304"/>
      <c r="AG104" s="478"/>
      <c r="AH104" s="486"/>
      <c r="AI104" s="486"/>
    </row>
    <row r="105" spans="1:35" s="163" customFormat="1" ht="58.5" customHeight="1" x14ac:dyDescent="0.25">
      <c r="A105" s="162"/>
      <c r="B105" s="299" t="s">
        <v>139</v>
      </c>
      <c r="C105" s="299" t="s">
        <v>73</v>
      </c>
      <c r="D105" s="299" t="s">
        <v>74</v>
      </c>
      <c r="E105" s="299" t="s">
        <v>83</v>
      </c>
      <c r="F105" s="299" t="s">
        <v>197</v>
      </c>
      <c r="G105" s="105" t="s">
        <v>198</v>
      </c>
      <c r="H105" s="519" t="s">
        <v>199</v>
      </c>
      <c r="I105" s="520">
        <v>8</v>
      </c>
      <c r="J105" s="311">
        <v>1313523666</v>
      </c>
      <c r="K105" s="361">
        <v>6</v>
      </c>
      <c r="L105" s="50">
        <f>407331300+394230000</f>
        <v>801561300</v>
      </c>
      <c r="M105" s="33">
        <v>2</v>
      </c>
      <c r="N105" s="34">
        <v>363103120</v>
      </c>
      <c r="O105" s="431">
        <v>0</v>
      </c>
      <c r="P105" s="439">
        <v>0</v>
      </c>
      <c r="Q105" s="422"/>
      <c r="R105" s="439"/>
      <c r="S105" s="33"/>
      <c r="T105" s="32"/>
      <c r="U105" s="92"/>
      <c r="V105" s="32"/>
      <c r="W105" s="153">
        <f t="shared" si="21"/>
        <v>0</v>
      </c>
      <c r="X105" s="32">
        <f t="shared" si="41"/>
        <v>0</v>
      </c>
      <c r="Y105" s="38">
        <f t="shared" si="43"/>
        <v>0</v>
      </c>
      <c r="Z105" s="168">
        <f t="shared" si="24"/>
        <v>0</v>
      </c>
      <c r="AA105" s="338">
        <f t="shared" si="44"/>
        <v>6</v>
      </c>
      <c r="AB105" s="58">
        <f t="shared" si="42"/>
        <v>801561300</v>
      </c>
      <c r="AC105" s="143">
        <f t="shared" si="45"/>
        <v>75</v>
      </c>
      <c r="AD105" s="159">
        <f t="shared" si="36"/>
        <v>61.023742529203886</v>
      </c>
      <c r="AE105" s="160" t="s">
        <v>281</v>
      </c>
      <c r="AF105" s="304"/>
      <c r="AG105" s="478"/>
      <c r="AH105" s="486"/>
      <c r="AI105" s="486"/>
    </row>
    <row r="106" spans="1:35" s="163" customFormat="1" ht="49.5" customHeight="1" x14ac:dyDescent="0.25">
      <c r="A106" s="162"/>
      <c r="B106" s="299" t="s">
        <v>139</v>
      </c>
      <c r="C106" s="299" t="s">
        <v>73</v>
      </c>
      <c r="D106" s="299" t="s">
        <v>74</v>
      </c>
      <c r="E106" s="299" t="s">
        <v>83</v>
      </c>
      <c r="F106" s="299" t="s">
        <v>200</v>
      </c>
      <c r="G106" s="105" t="s">
        <v>201</v>
      </c>
      <c r="H106" s="519" t="s">
        <v>202</v>
      </c>
      <c r="I106" s="44">
        <v>16</v>
      </c>
      <c r="J106" s="34">
        <v>2383943360</v>
      </c>
      <c r="K106" s="361">
        <f>7+4</f>
        <v>11</v>
      </c>
      <c r="L106" s="50">
        <f>954181324+595521290</f>
        <v>1549702614</v>
      </c>
      <c r="M106" s="37">
        <v>2</v>
      </c>
      <c r="N106" s="34">
        <v>161972105</v>
      </c>
      <c r="O106" s="422"/>
      <c r="P106" s="439">
        <v>52196300</v>
      </c>
      <c r="Q106" s="422"/>
      <c r="R106" s="439"/>
      <c r="S106" s="37"/>
      <c r="T106" s="32"/>
      <c r="U106" s="37"/>
      <c r="V106" s="32"/>
      <c r="W106" s="153">
        <f t="shared" si="21"/>
        <v>0</v>
      </c>
      <c r="X106" s="32">
        <f t="shared" si="41"/>
        <v>52196300</v>
      </c>
      <c r="Y106" s="38">
        <f t="shared" si="43"/>
        <v>0</v>
      </c>
      <c r="Z106" s="168">
        <f t="shared" si="24"/>
        <v>32.225487222012703</v>
      </c>
      <c r="AA106" s="338">
        <f t="shared" si="44"/>
        <v>11</v>
      </c>
      <c r="AB106" s="58">
        <f t="shared" si="42"/>
        <v>1601898914</v>
      </c>
      <c r="AC106" s="143">
        <f t="shared" si="45"/>
        <v>68.75</v>
      </c>
      <c r="AD106" s="159">
        <f t="shared" si="36"/>
        <v>67.195342845729357</v>
      </c>
      <c r="AE106" s="160" t="s">
        <v>281</v>
      </c>
      <c r="AF106" s="313"/>
      <c r="AG106" s="483"/>
      <c r="AH106" s="486"/>
      <c r="AI106" s="486"/>
    </row>
    <row r="107" spans="1:35" s="163" customFormat="1" ht="58.5" customHeight="1" x14ac:dyDescent="0.25">
      <c r="A107" s="162"/>
      <c r="B107" s="299" t="s">
        <v>139</v>
      </c>
      <c r="C107" s="299" t="s">
        <v>73</v>
      </c>
      <c r="D107" s="299" t="s">
        <v>74</v>
      </c>
      <c r="E107" s="299" t="s">
        <v>83</v>
      </c>
      <c r="F107" s="299" t="s">
        <v>203</v>
      </c>
      <c r="G107" s="105" t="s">
        <v>204</v>
      </c>
      <c r="H107" s="519" t="s">
        <v>205</v>
      </c>
      <c r="I107" s="44">
        <v>12</v>
      </c>
      <c r="J107" s="34">
        <v>1675577358</v>
      </c>
      <c r="K107" s="361">
        <f>7+3</f>
        <v>10</v>
      </c>
      <c r="L107" s="50">
        <f>639025238+400134000</f>
        <v>1039159238</v>
      </c>
      <c r="M107" s="33">
        <v>2</v>
      </c>
      <c r="N107" s="34">
        <v>420363277</v>
      </c>
      <c r="O107" s="422">
        <v>0</v>
      </c>
      <c r="P107" s="439">
        <v>0</v>
      </c>
      <c r="Q107" s="422"/>
      <c r="R107" s="439"/>
      <c r="S107" s="37"/>
      <c r="T107" s="32"/>
      <c r="U107" s="173"/>
      <c r="V107" s="32"/>
      <c r="W107" s="153">
        <f t="shared" si="21"/>
        <v>0</v>
      </c>
      <c r="X107" s="32">
        <f t="shared" si="41"/>
        <v>0</v>
      </c>
      <c r="Y107" s="38">
        <f t="shared" si="43"/>
        <v>0</v>
      </c>
      <c r="Z107" s="168">
        <f t="shared" si="24"/>
        <v>0</v>
      </c>
      <c r="AA107" s="338">
        <f t="shared" si="44"/>
        <v>10</v>
      </c>
      <c r="AB107" s="58">
        <f t="shared" si="42"/>
        <v>1039159238</v>
      </c>
      <c r="AC107" s="143">
        <f t="shared" si="45"/>
        <v>83.333333333333343</v>
      </c>
      <c r="AD107" s="159">
        <f t="shared" si="36"/>
        <v>62.017980431554633</v>
      </c>
      <c r="AE107" s="160" t="s">
        <v>281</v>
      </c>
      <c r="AF107" s="304"/>
      <c r="AG107" s="478"/>
      <c r="AH107" s="486"/>
      <c r="AI107" s="486"/>
    </row>
    <row r="108" spans="1:35" s="163" customFormat="1" ht="57.75" customHeight="1" x14ac:dyDescent="0.25">
      <c r="A108" s="162"/>
      <c r="B108" s="299" t="s">
        <v>274</v>
      </c>
      <c r="C108" s="299" t="s">
        <v>73</v>
      </c>
      <c r="D108" s="299" t="s">
        <v>74</v>
      </c>
      <c r="E108" s="299" t="s">
        <v>83</v>
      </c>
      <c r="F108" s="314" t="s">
        <v>206</v>
      </c>
      <c r="G108" s="114" t="s">
        <v>207</v>
      </c>
      <c r="H108" s="114" t="s">
        <v>208</v>
      </c>
      <c r="I108" s="44">
        <v>89</v>
      </c>
      <c r="J108" s="34">
        <v>1284368904</v>
      </c>
      <c r="K108" s="361">
        <f>65+12</f>
        <v>77</v>
      </c>
      <c r="L108" s="50">
        <f>471920010+253491000</f>
        <v>725411010</v>
      </c>
      <c r="M108" s="33">
        <v>12</v>
      </c>
      <c r="N108" s="34">
        <v>252438140</v>
      </c>
      <c r="O108" s="422">
        <v>3</v>
      </c>
      <c r="P108" s="439">
        <v>21014000</v>
      </c>
      <c r="Q108" s="422"/>
      <c r="R108" s="439"/>
      <c r="S108" s="173"/>
      <c r="T108" s="32"/>
      <c r="U108" s="74"/>
      <c r="V108" s="32"/>
      <c r="W108" s="153">
        <f t="shared" si="21"/>
        <v>3</v>
      </c>
      <c r="X108" s="32">
        <f t="shared" si="41"/>
        <v>21014000</v>
      </c>
      <c r="Y108" s="38">
        <f>W108/12*100</f>
        <v>25</v>
      </c>
      <c r="Z108" s="168">
        <f t="shared" si="24"/>
        <v>8.3244156370348801</v>
      </c>
      <c r="AA108" s="338">
        <f t="shared" si="44"/>
        <v>80</v>
      </c>
      <c r="AB108" s="58">
        <f t="shared" si="42"/>
        <v>746425010</v>
      </c>
      <c r="AC108" s="143">
        <f t="shared" si="45"/>
        <v>89.887640449438194</v>
      </c>
      <c r="AD108" s="159">
        <f t="shared" si="36"/>
        <v>58.116091698837955</v>
      </c>
      <c r="AE108" s="160" t="s">
        <v>281</v>
      </c>
      <c r="AF108" s="304"/>
      <c r="AG108" s="478"/>
      <c r="AH108" s="486"/>
      <c r="AI108" s="486"/>
    </row>
    <row r="109" spans="1:35" s="163" customFormat="1" ht="85.5" customHeight="1" x14ac:dyDescent="0.25">
      <c r="A109" s="162"/>
      <c r="B109" s="299" t="s">
        <v>286</v>
      </c>
      <c r="C109" s="299" t="s">
        <v>73</v>
      </c>
      <c r="D109" s="299" t="s">
        <v>74</v>
      </c>
      <c r="E109" s="299" t="s">
        <v>83</v>
      </c>
      <c r="F109" s="314" t="s">
        <v>209</v>
      </c>
      <c r="G109" s="114" t="s">
        <v>210</v>
      </c>
      <c r="H109" s="114" t="s">
        <v>420</v>
      </c>
      <c r="I109" s="44">
        <v>8</v>
      </c>
      <c r="J109" s="34">
        <v>909636000</v>
      </c>
      <c r="K109" s="361">
        <v>5</v>
      </c>
      <c r="L109" s="50">
        <f>362136670+110124600</f>
        <v>472261270</v>
      </c>
      <c r="M109" s="33">
        <v>3</v>
      </c>
      <c r="N109" s="34">
        <v>195716927</v>
      </c>
      <c r="O109" s="103">
        <v>0</v>
      </c>
      <c r="P109" s="439">
        <v>0</v>
      </c>
      <c r="Q109" s="422"/>
      <c r="R109" s="439"/>
      <c r="S109" s="173"/>
      <c r="T109" s="32"/>
      <c r="U109" s="50"/>
      <c r="V109" s="32"/>
      <c r="W109" s="153">
        <f t="shared" si="21"/>
        <v>0</v>
      </c>
      <c r="X109" s="32">
        <f t="shared" si="41"/>
        <v>0</v>
      </c>
      <c r="Y109" s="38">
        <f t="shared" si="43"/>
        <v>0</v>
      </c>
      <c r="Z109" s="168">
        <f t="shared" si="24"/>
        <v>0</v>
      </c>
      <c r="AA109" s="338">
        <f t="shared" si="44"/>
        <v>5</v>
      </c>
      <c r="AB109" s="58">
        <f t="shared" si="42"/>
        <v>472261270</v>
      </c>
      <c r="AC109" s="143">
        <f t="shared" si="45"/>
        <v>62.5</v>
      </c>
      <c r="AD109" s="159">
        <f t="shared" si="36"/>
        <v>51.917609901103305</v>
      </c>
      <c r="AE109" s="160" t="s">
        <v>281</v>
      </c>
      <c r="AF109" s="304"/>
      <c r="AG109" s="478"/>
      <c r="AH109" s="493" t="s">
        <v>386</v>
      </c>
      <c r="AI109" s="493" t="s">
        <v>387</v>
      </c>
    </row>
    <row r="110" spans="1:35" s="163" customFormat="1" ht="36.75" customHeight="1" x14ac:dyDescent="0.25">
      <c r="A110" s="162"/>
      <c r="B110" s="165">
        <v>1</v>
      </c>
      <c r="C110" s="165">
        <v>20</v>
      </c>
      <c r="D110" s="166" t="s">
        <v>73</v>
      </c>
      <c r="E110" s="166" t="s">
        <v>83</v>
      </c>
      <c r="F110" s="167" t="s">
        <v>211</v>
      </c>
      <c r="G110" s="114" t="s">
        <v>212</v>
      </c>
      <c r="H110" s="114" t="s">
        <v>213</v>
      </c>
      <c r="I110" s="44">
        <v>7</v>
      </c>
      <c r="J110" s="501">
        <v>967570000</v>
      </c>
      <c r="K110" s="361">
        <v>3</v>
      </c>
      <c r="L110" s="50">
        <f>219885000+214285000</f>
        <v>434170000</v>
      </c>
      <c r="M110" s="33">
        <v>1</v>
      </c>
      <c r="N110" s="34">
        <v>148625471</v>
      </c>
      <c r="O110" s="431">
        <v>0</v>
      </c>
      <c r="P110" s="439">
        <v>0</v>
      </c>
      <c r="Q110" s="103"/>
      <c r="R110" s="439"/>
      <c r="S110" s="173"/>
      <c r="T110" s="32"/>
      <c r="U110" s="50"/>
      <c r="V110" s="50"/>
      <c r="W110" s="153">
        <f t="shared" si="21"/>
        <v>0</v>
      </c>
      <c r="X110" s="32">
        <f t="shared" si="41"/>
        <v>0</v>
      </c>
      <c r="Y110" s="38">
        <f t="shared" si="43"/>
        <v>0</v>
      </c>
      <c r="Z110" s="168">
        <f t="shared" si="24"/>
        <v>0</v>
      </c>
      <c r="AA110" s="338">
        <f t="shared" si="44"/>
        <v>3</v>
      </c>
      <c r="AB110" s="58">
        <f t="shared" si="42"/>
        <v>434170000</v>
      </c>
      <c r="AC110" s="143">
        <f t="shared" si="45"/>
        <v>42.857142857142854</v>
      </c>
      <c r="AD110" s="159">
        <f t="shared" si="36"/>
        <v>44.872205628533337</v>
      </c>
      <c r="AE110" s="160" t="s">
        <v>281</v>
      </c>
      <c r="AF110" s="304"/>
      <c r="AG110" s="478"/>
      <c r="AH110" s="486"/>
      <c r="AI110" s="486"/>
    </row>
    <row r="111" spans="1:35" s="163" customFormat="1" ht="39" customHeight="1" x14ac:dyDescent="0.25">
      <c r="A111" s="162"/>
      <c r="B111" s="165">
        <v>1</v>
      </c>
      <c r="C111" s="165">
        <v>20</v>
      </c>
      <c r="D111" s="166" t="s">
        <v>73</v>
      </c>
      <c r="E111" s="166" t="s">
        <v>83</v>
      </c>
      <c r="F111" s="167" t="s">
        <v>214</v>
      </c>
      <c r="G111" s="114" t="s">
        <v>215</v>
      </c>
      <c r="H111" s="114" t="s">
        <v>216</v>
      </c>
      <c r="I111" s="44">
        <v>11</v>
      </c>
      <c r="J111" s="34">
        <v>696150000</v>
      </c>
      <c r="K111" s="361">
        <v>3</v>
      </c>
      <c r="L111" s="50">
        <v>83108000</v>
      </c>
      <c r="M111" s="33"/>
      <c r="N111" s="34"/>
      <c r="O111" s="264"/>
      <c r="P111" s="406"/>
      <c r="Q111" s="390"/>
      <c r="R111" s="386"/>
      <c r="S111" s="173"/>
      <c r="T111" s="32"/>
      <c r="U111" s="74"/>
      <c r="V111" s="50"/>
      <c r="W111" s="153">
        <f t="shared" si="21"/>
        <v>0</v>
      </c>
      <c r="X111" s="32">
        <v>0</v>
      </c>
      <c r="Y111" s="38" t="e">
        <f t="shared" si="43"/>
        <v>#DIV/0!</v>
      </c>
      <c r="Z111" s="168">
        <v>0</v>
      </c>
      <c r="AA111" s="338">
        <f t="shared" si="44"/>
        <v>3</v>
      </c>
      <c r="AB111" s="58">
        <f>SUM(L111+X111)</f>
        <v>83108000</v>
      </c>
      <c r="AC111" s="143">
        <f t="shared" si="45"/>
        <v>27.27272727272727</v>
      </c>
      <c r="AD111" s="159">
        <f t="shared" si="36"/>
        <v>11.938231702937586</v>
      </c>
      <c r="AE111" s="160" t="s">
        <v>281</v>
      </c>
      <c r="AF111" s="304"/>
      <c r="AG111" s="478"/>
      <c r="AH111" s="486"/>
      <c r="AI111" s="486"/>
    </row>
    <row r="112" spans="1:35" s="163" customFormat="1" ht="126.75" customHeight="1" x14ac:dyDescent="0.25">
      <c r="A112" s="162"/>
      <c r="B112" s="165">
        <v>24</v>
      </c>
      <c r="C112" s="165">
        <v>20</v>
      </c>
      <c r="D112" s="166" t="s">
        <v>73</v>
      </c>
      <c r="E112" s="166" t="s">
        <v>83</v>
      </c>
      <c r="F112" s="167" t="s">
        <v>217</v>
      </c>
      <c r="G112" s="114" t="s">
        <v>218</v>
      </c>
      <c r="H112" s="114" t="s">
        <v>219</v>
      </c>
      <c r="I112" s="44">
        <v>64</v>
      </c>
      <c r="J112" s="34">
        <v>374064600</v>
      </c>
      <c r="K112" s="361">
        <f>16+24</f>
        <v>40</v>
      </c>
      <c r="L112" s="50">
        <f>209611000+27500000</f>
        <v>237111000</v>
      </c>
      <c r="M112" s="33">
        <v>24</v>
      </c>
      <c r="N112" s="34">
        <v>60110918</v>
      </c>
      <c r="O112" s="431"/>
      <c r="P112" s="439">
        <v>3000000</v>
      </c>
      <c r="Q112" s="422"/>
      <c r="R112" s="439"/>
      <c r="S112" s="37"/>
      <c r="T112" s="32"/>
      <c r="U112" s="37"/>
      <c r="V112" s="32"/>
      <c r="W112" s="153">
        <f t="shared" si="21"/>
        <v>0</v>
      </c>
      <c r="X112" s="32">
        <f t="shared" si="41"/>
        <v>3000000</v>
      </c>
      <c r="Y112" s="38">
        <f t="shared" si="43"/>
        <v>0</v>
      </c>
      <c r="Z112" s="168">
        <f t="shared" si="24"/>
        <v>4.9907738890296098</v>
      </c>
      <c r="AA112" s="338">
        <f t="shared" si="44"/>
        <v>40</v>
      </c>
      <c r="AB112" s="58">
        <f t="shared" si="42"/>
        <v>240111000</v>
      </c>
      <c r="AC112" s="143">
        <f t="shared" si="45"/>
        <v>62.5</v>
      </c>
      <c r="AD112" s="159">
        <f t="shared" si="36"/>
        <v>64.189714824658623</v>
      </c>
      <c r="AE112" s="160" t="s">
        <v>281</v>
      </c>
      <c r="AF112" s="304"/>
      <c r="AG112" s="478"/>
      <c r="AH112" s="493" t="s">
        <v>388</v>
      </c>
      <c r="AI112" s="493" t="s">
        <v>389</v>
      </c>
    </row>
    <row r="113" spans="1:35" s="163" customFormat="1" ht="56.25" customHeight="1" x14ac:dyDescent="0.25">
      <c r="A113" s="162"/>
      <c r="B113" s="165">
        <v>1</v>
      </c>
      <c r="C113" s="165">
        <v>20</v>
      </c>
      <c r="D113" s="166" t="s">
        <v>73</v>
      </c>
      <c r="E113" s="166" t="s">
        <v>83</v>
      </c>
      <c r="F113" s="167" t="s">
        <v>220</v>
      </c>
      <c r="G113" s="114" t="s">
        <v>221</v>
      </c>
      <c r="H113" s="114" t="s">
        <v>222</v>
      </c>
      <c r="I113" s="44">
        <v>1</v>
      </c>
      <c r="J113" s="34">
        <v>186275000</v>
      </c>
      <c r="K113" s="361">
        <v>1</v>
      </c>
      <c r="L113" s="50">
        <v>185474000</v>
      </c>
      <c r="M113" s="92"/>
      <c r="N113" s="34"/>
      <c r="O113" s="264"/>
      <c r="P113" s="406"/>
      <c r="Q113" s="411"/>
      <c r="R113" s="386"/>
      <c r="S113" s="37"/>
      <c r="T113" s="32"/>
      <c r="U113" s="50"/>
      <c r="V113" s="32"/>
      <c r="W113" s="153">
        <f t="shared" si="21"/>
        <v>0</v>
      </c>
      <c r="X113" s="32">
        <f t="shared" si="41"/>
        <v>0</v>
      </c>
      <c r="Y113" s="38" t="e">
        <f t="shared" si="43"/>
        <v>#DIV/0!</v>
      </c>
      <c r="Z113" s="168">
        <v>0</v>
      </c>
      <c r="AA113" s="338">
        <f t="shared" si="44"/>
        <v>1</v>
      </c>
      <c r="AB113" s="58">
        <f t="shared" si="42"/>
        <v>185474000</v>
      </c>
      <c r="AC113" s="143">
        <f t="shared" si="45"/>
        <v>100</v>
      </c>
      <c r="AD113" s="159">
        <f t="shared" si="36"/>
        <v>99.569990605287884</v>
      </c>
      <c r="AE113" s="160" t="s">
        <v>281</v>
      </c>
      <c r="AF113" s="304"/>
      <c r="AG113" s="478"/>
      <c r="AH113" s="486"/>
      <c r="AI113" s="486"/>
    </row>
    <row r="114" spans="1:35" s="163" customFormat="1" ht="58.5" customHeight="1" x14ac:dyDescent="0.25">
      <c r="A114" s="162"/>
      <c r="B114" s="165">
        <v>1</v>
      </c>
      <c r="C114" s="165">
        <v>20</v>
      </c>
      <c r="D114" s="166" t="s">
        <v>73</v>
      </c>
      <c r="E114" s="166" t="s">
        <v>83</v>
      </c>
      <c r="F114" s="167" t="s">
        <v>223</v>
      </c>
      <c r="G114" s="114" t="s">
        <v>224</v>
      </c>
      <c r="H114" s="114" t="s">
        <v>225</v>
      </c>
      <c r="I114" s="44">
        <v>4</v>
      </c>
      <c r="J114" s="34">
        <v>696150000</v>
      </c>
      <c r="K114" s="361">
        <v>1</v>
      </c>
      <c r="L114" s="50">
        <v>257350000</v>
      </c>
      <c r="M114" s="37">
        <v>1</v>
      </c>
      <c r="N114" s="34">
        <v>334885000</v>
      </c>
      <c r="O114" s="264"/>
      <c r="P114" s="406"/>
      <c r="Q114" s="411"/>
      <c r="R114" s="386"/>
      <c r="S114" s="173"/>
      <c r="T114" s="174"/>
      <c r="U114" s="37"/>
      <c r="V114" s="32"/>
      <c r="W114" s="153">
        <f t="shared" si="21"/>
        <v>0</v>
      </c>
      <c r="X114" s="32">
        <f t="shared" si="41"/>
        <v>0</v>
      </c>
      <c r="Y114" s="38">
        <f t="shared" si="43"/>
        <v>0</v>
      </c>
      <c r="Z114" s="168">
        <v>0</v>
      </c>
      <c r="AA114" s="338">
        <f t="shared" si="44"/>
        <v>1</v>
      </c>
      <c r="AB114" s="58">
        <f t="shared" si="42"/>
        <v>257350000</v>
      </c>
      <c r="AC114" s="143">
        <f t="shared" si="45"/>
        <v>25</v>
      </c>
      <c r="AD114" s="159">
        <f t="shared" si="36"/>
        <v>36.967607555842854</v>
      </c>
      <c r="AE114" s="160" t="s">
        <v>281</v>
      </c>
      <c r="AF114" s="169"/>
      <c r="AG114" s="169"/>
      <c r="AH114" s="486"/>
      <c r="AI114" s="486"/>
    </row>
    <row r="115" spans="1:35" s="163" customFormat="1" ht="47.25" customHeight="1" x14ac:dyDescent="0.25">
      <c r="A115" s="162"/>
      <c r="B115" s="165">
        <v>1</v>
      </c>
      <c r="C115" s="165">
        <v>20</v>
      </c>
      <c r="D115" s="166" t="s">
        <v>73</v>
      </c>
      <c r="E115" s="166" t="s">
        <v>83</v>
      </c>
      <c r="F115" s="167" t="s">
        <v>226</v>
      </c>
      <c r="G115" s="114" t="s">
        <v>227</v>
      </c>
      <c r="H115" s="114" t="s">
        <v>228</v>
      </c>
      <c r="I115" s="44">
        <v>4</v>
      </c>
      <c r="J115" s="499">
        <v>1161293518</v>
      </c>
      <c r="K115" s="361">
        <f>2+1</f>
        <v>3</v>
      </c>
      <c r="L115" s="50">
        <f>449274517+157798000</f>
        <v>607072517</v>
      </c>
      <c r="M115" s="45">
        <v>1</v>
      </c>
      <c r="N115" s="34">
        <v>221952061</v>
      </c>
      <c r="O115" s="431">
        <v>0</v>
      </c>
      <c r="P115" s="439">
        <v>0</v>
      </c>
      <c r="Q115" s="422"/>
      <c r="R115" s="439"/>
      <c r="S115" s="173"/>
      <c r="T115" s="32"/>
      <c r="U115" s="50"/>
      <c r="V115" s="50"/>
      <c r="W115" s="153">
        <f t="shared" si="21"/>
        <v>0</v>
      </c>
      <c r="X115" s="32">
        <f t="shared" si="41"/>
        <v>0</v>
      </c>
      <c r="Y115" s="38">
        <f t="shared" si="43"/>
        <v>0</v>
      </c>
      <c r="Z115" s="168">
        <f t="shared" si="24"/>
        <v>0</v>
      </c>
      <c r="AA115" s="338">
        <f t="shared" si="44"/>
        <v>3</v>
      </c>
      <c r="AB115" s="58">
        <f t="shared" si="42"/>
        <v>607072517</v>
      </c>
      <c r="AC115" s="143">
        <f t="shared" si="45"/>
        <v>75</v>
      </c>
      <c r="AD115" s="159">
        <f t="shared" si="36"/>
        <v>52.275545121918086</v>
      </c>
      <c r="AE115" s="160" t="s">
        <v>281</v>
      </c>
      <c r="AF115" s="304"/>
      <c r="AG115" s="478"/>
      <c r="AH115" s="486"/>
      <c r="AI115" s="486"/>
    </row>
    <row r="116" spans="1:35" s="163" customFormat="1" ht="63" customHeight="1" x14ac:dyDescent="0.25">
      <c r="A116" s="162"/>
      <c r="B116" s="165">
        <v>1</v>
      </c>
      <c r="C116" s="165">
        <v>20</v>
      </c>
      <c r="D116" s="166" t="s">
        <v>73</v>
      </c>
      <c r="E116" s="166" t="s">
        <v>83</v>
      </c>
      <c r="F116" s="167" t="s">
        <v>248</v>
      </c>
      <c r="G116" s="114" t="s">
        <v>253</v>
      </c>
      <c r="H116" s="114" t="s">
        <v>254</v>
      </c>
      <c r="I116" s="44">
        <v>3</v>
      </c>
      <c r="J116" s="34">
        <v>827500000</v>
      </c>
      <c r="K116" s="364">
        <v>1</v>
      </c>
      <c r="L116" s="32">
        <v>139723500</v>
      </c>
      <c r="M116" s="45"/>
      <c r="N116" s="34"/>
      <c r="O116" s="264"/>
      <c r="P116" s="407"/>
      <c r="Q116" s="390"/>
      <c r="R116" s="386"/>
      <c r="S116" s="173"/>
      <c r="T116" s="32"/>
      <c r="U116" s="50"/>
      <c r="V116" s="32"/>
      <c r="W116" s="153">
        <f t="shared" si="21"/>
        <v>0</v>
      </c>
      <c r="X116" s="32">
        <f t="shared" si="41"/>
        <v>0</v>
      </c>
      <c r="Y116" s="38" t="e">
        <f t="shared" si="43"/>
        <v>#DIV/0!</v>
      </c>
      <c r="Z116" s="168">
        <v>0</v>
      </c>
      <c r="AA116" s="338">
        <f t="shared" si="44"/>
        <v>1</v>
      </c>
      <c r="AB116" s="58">
        <f t="shared" si="42"/>
        <v>139723500</v>
      </c>
      <c r="AC116" s="143">
        <f t="shared" si="45"/>
        <v>33.333333333333329</v>
      </c>
      <c r="AD116" s="159">
        <f t="shared" si="36"/>
        <v>16.88501510574018</v>
      </c>
      <c r="AE116" s="160" t="s">
        <v>281</v>
      </c>
      <c r="AF116" s="304"/>
      <c r="AG116" s="478"/>
      <c r="AH116" s="486"/>
      <c r="AI116" s="486"/>
    </row>
    <row r="117" spans="1:35" s="163" customFormat="1" ht="89.25" customHeight="1" x14ac:dyDescent="0.25">
      <c r="A117" s="162"/>
      <c r="B117" s="165">
        <v>1</v>
      </c>
      <c r="C117" s="165">
        <v>20</v>
      </c>
      <c r="D117" s="166" t="s">
        <v>73</v>
      </c>
      <c r="E117" s="166" t="s">
        <v>83</v>
      </c>
      <c r="F117" s="167" t="s">
        <v>249</v>
      </c>
      <c r="G117" s="114" t="s">
        <v>255</v>
      </c>
      <c r="H117" s="114" t="s">
        <v>256</v>
      </c>
      <c r="I117" s="44">
        <v>90</v>
      </c>
      <c r="J117" s="34">
        <v>430295250</v>
      </c>
      <c r="K117" s="363">
        <f>30+30</f>
        <v>60</v>
      </c>
      <c r="L117" s="32">
        <f>122503000+44790000</f>
        <v>167293000</v>
      </c>
      <c r="M117" s="45">
        <v>30</v>
      </c>
      <c r="N117" s="34">
        <v>88840644</v>
      </c>
      <c r="O117" s="422"/>
      <c r="P117" s="440">
        <v>12700000</v>
      </c>
      <c r="Q117" s="422"/>
      <c r="R117" s="439"/>
      <c r="S117" s="37"/>
      <c r="T117" s="32"/>
      <c r="U117" s="50"/>
      <c r="V117" s="32"/>
      <c r="W117" s="153">
        <f t="shared" si="21"/>
        <v>0</v>
      </c>
      <c r="X117" s="32">
        <f t="shared" si="41"/>
        <v>12700000</v>
      </c>
      <c r="Y117" s="38">
        <f t="shared" si="43"/>
        <v>0</v>
      </c>
      <c r="Z117" s="168">
        <f>SUM(X117/N117)*100</f>
        <v>14.295258823202586</v>
      </c>
      <c r="AA117" s="338">
        <f t="shared" si="44"/>
        <v>60</v>
      </c>
      <c r="AB117" s="58">
        <f t="shared" si="42"/>
        <v>179993000</v>
      </c>
      <c r="AC117" s="143">
        <f t="shared" si="45"/>
        <v>66.666666666666657</v>
      </c>
      <c r="AD117" s="159">
        <f t="shared" si="36"/>
        <v>41.830115484658499</v>
      </c>
      <c r="AE117" s="160" t="s">
        <v>281</v>
      </c>
      <c r="AF117" s="304"/>
      <c r="AG117" s="478"/>
      <c r="AH117" s="486"/>
      <c r="AI117" s="486"/>
    </row>
    <row r="118" spans="1:35" s="163" customFormat="1" ht="48" customHeight="1" x14ac:dyDescent="0.25">
      <c r="A118" s="162"/>
      <c r="B118" s="165">
        <v>1</v>
      </c>
      <c r="C118" s="165">
        <v>20</v>
      </c>
      <c r="D118" s="166" t="s">
        <v>73</v>
      </c>
      <c r="E118" s="166" t="s">
        <v>83</v>
      </c>
      <c r="F118" s="167" t="s">
        <v>250</v>
      </c>
      <c r="G118" s="114" t="s">
        <v>257</v>
      </c>
      <c r="H118" s="114" t="s">
        <v>258</v>
      </c>
      <c r="I118" s="44">
        <v>3</v>
      </c>
      <c r="J118" s="34">
        <v>827500000</v>
      </c>
      <c r="K118" s="363">
        <v>1</v>
      </c>
      <c r="L118" s="32">
        <v>43404000</v>
      </c>
      <c r="M118" s="45"/>
      <c r="N118" s="34"/>
      <c r="O118" s="264"/>
      <c r="P118" s="406"/>
      <c r="Q118" s="390"/>
      <c r="R118" s="386"/>
      <c r="S118" s="173"/>
      <c r="T118" s="32"/>
      <c r="U118" s="45"/>
      <c r="V118" s="32"/>
      <c r="W118" s="153">
        <f t="shared" si="21"/>
        <v>0</v>
      </c>
      <c r="X118" s="32">
        <f t="shared" si="41"/>
        <v>0</v>
      </c>
      <c r="Y118" s="38" t="e">
        <f t="shared" si="43"/>
        <v>#DIV/0!</v>
      </c>
      <c r="Z118" s="168">
        <v>0</v>
      </c>
      <c r="AA118" s="338">
        <f t="shared" si="44"/>
        <v>1</v>
      </c>
      <c r="AB118" s="58">
        <f t="shared" si="42"/>
        <v>43404000</v>
      </c>
      <c r="AC118" s="143">
        <f t="shared" si="45"/>
        <v>33.333333333333329</v>
      </c>
      <c r="AD118" s="159">
        <f t="shared" si="36"/>
        <v>5.2451963746223562</v>
      </c>
      <c r="AE118" s="160" t="s">
        <v>281</v>
      </c>
      <c r="AF118" s="304"/>
      <c r="AG118" s="478"/>
      <c r="AH118" s="486"/>
      <c r="AI118" s="486"/>
    </row>
    <row r="119" spans="1:35" ht="54" hidden="1" x14ac:dyDescent="0.25">
      <c r="A119" s="26"/>
      <c r="B119" s="93" t="s">
        <v>274</v>
      </c>
      <c r="C119" s="93" t="s">
        <v>73</v>
      </c>
      <c r="D119" s="93" t="s">
        <v>74</v>
      </c>
      <c r="E119" s="93" t="s">
        <v>83</v>
      </c>
      <c r="F119" s="93" t="s">
        <v>278</v>
      </c>
      <c r="G119" s="100" t="s">
        <v>279</v>
      </c>
      <c r="H119" s="288" t="s">
        <v>280</v>
      </c>
      <c r="I119" s="51"/>
      <c r="J119" s="57"/>
      <c r="K119" s="346"/>
      <c r="L119" s="61"/>
      <c r="M119" s="384"/>
      <c r="N119" s="385"/>
      <c r="O119" s="387"/>
      <c r="P119" s="386"/>
      <c r="Q119" s="391"/>
      <c r="R119" s="386"/>
      <c r="S119" s="71"/>
      <c r="T119" s="69"/>
      <c r="U119" s="72"/>
      <c r="V119" s="69"/>
      <c r="W119" s="153">
        <f t="shared" si="21"/>
        <v>0</v>
      </c>
      <c r="X119" s="396"/>
      <c r="Y119" s="38"/>
      <c r="Z119" s="95"/>
      <c r="AA119" s="338"/>
      <c r="AB119" s="61"/>
      <c r="AC119" s="143"/>
      <c r="AD119" s="39"/>
      <c r="AE119" s="160"/>
      <c r="AF119" s="98"/>
      <c r="AG119" s="472"/>
      <c r="AH119" s="484"/>
      <c r="AI119" s="484"/>
    </row>
    <row r="120" spans="1:35" s="163" customFormat="1" ht="54" hidden="1" x14ac:dyDescent="0.25">
      <c r="A120" s="162"/>
      <c r="B120" s="299" t="s">
        <v>139</v>
      </c>
      <c r="C120" s="299" t="s">
        <v>73</v>
      </c>
      <c r="D120" s="299" t="s">
        <v>74</v>
      </c>
      <c r="E120" s="299" t="s">
        <v>83</v>
      </c>
      <c r="F120" s="299" t="s">
        <v>149</v>
      </c>
      <c r="G120" s="28" t="s">
        <v>66</v>
      </c>
      <c r="H120" s="309" t="s">
        <v>282</v>
      </c>
      <c r="I120" s="33"/>
      <c r="J120" s="79"/>
      <c r="K120" s="353"/>
      <c r="L120" s="58"/>
      <c r="M120" s="388"/>
      <c r="N120" s="389"/>
      <c r="O120" s="387"/>
      <c r="P120" s="386"/>
      <c r="Q120" s="391"/>
      <c r="R120" s="386"/>
      <c r="S120" s="276"/>
      <c r="T120" s="58"/>
      <c r="U120" s="58"/>
      <c r="V120" s="66"/>
      <c r="W120" s="153">
        <f t="shared" si="21"/>
        <v>0</v>
      </c>
      <c r="X120" s="312"/>
      <c r="Y120" s="38"/>
      <c r="Z120" s="168"/>
      <c r="AA120" s="338"/>
      <c r="AB120" s="58"/>
      <c r="AC120" s="143"/>
      <c r="AD120" s="159"/>
      <c r="AE120" s="160"/>
      <c r="AF120" s="309"/>
      <c r="AG120" s="482"/>
      <c r="AH120" s="490"/>
      <c r="AI120" s="486"/>
    </row>
    <row r="121" spans="1:35" s="163" customFormat="1" ht="117.75" hidden="1" customHeight="1" x14ac:dyDescent="0.25">
      <c r="A121" s="162"/>
      <c r="B121" s="299" t="s">
        <v>274</v>
      </c>
      <c r="C121" s="299" t="s">
        <v>73</v>
      </c>
      <c r="D121" s="299" t="s">
        <v>74</v>
      </c>
      <c r="E121" s="299" t="s">
        <v>83</v>
      </c>
      <c r="F121" s="299" t="s">
        <v>283</v>
      </c>
      <c r="G121" s="28" t="s">
        <v>284</v>
      </c>
      <c r="H121" s="309" t="s">
        <v>285</v>
      </c>
      <c r="I121" s="33"/>
      <c r="J121" s="79"/>
      <c r="K121" s="353"/>
      <c r="L121" s="79"/>
      <c r="M121" s="384"/>
      <c r="N121" s="385"/>
      <c r="O121" s="409"/>
      <c r="P121" s="386"/>
      <c r="Q121" s="409"/>
      <c r="R121" s="386"/>
      <c r="S121" s="302"/>
      <c r="T121" s="79"/>
      <c r="U121" s="302"/>
      <c r="V121" s="79"/>
      <c r="W121" s="153">
        <f t="shared" si="21"/>
        <v>0</v>
      </c>
      <c r="X121" s="312"/>
      <c r="Y121" s="38"/>
      <c r="Z121" s="168"/>
      <c r="AA121" s="338"/>
      <c r="AB121" s="58"/>
      <c r="AC121" s="143"/>
      <c r="AD121" s="159"/>
      <c r="AE121" s="160"/>
      <c r="AF121" s="304"/>
      <c r="AG121" s="478"/>
      <c r="AH121" s="486"/>
      <c r="AI121" s="486"/>
    </row>
    <row r="122" spans="1:35" s="163" customFormat="1" ht="40.5" x14ac:dyDescent="0.25">
      <c r="A122" s="162"/>
      <c r="B122" s="316">
        <v>1</v>
      </c>
      <c r="C122" s="316">
        <v>20</v>
      </c>
      <c r="D122" s="317" t="s">
        <v>73</v>
      </c>
      <c r="E122" s="317" t="s">
        <v>147</v>
      </c>
      <c r="F122" s="318"/>
      <c r="G122" s="420" t="s">
        <v>287</v>
      </c>
      <c r="H122" s="383" t="s">
        <v>288</v>
      </c>
      <c r="I122" s="382">
        <f>I123</f>
        <v>20</v>
      </c>
      <c r="J122" s="380">
        <f>J123</f>
        <v>1519030572</v>
      </c>
      <c r="K122" s="381">
        <f>K123</f>
        <v>16</v>
      </c>
      <c r="L122" s="18">
        <f>L123</f>
        <v>1182803250</v>
      </c>
      <c r="M122" s="20">
        <v>4</v>
      </c>
      <c r="N122" s="380">
        <f>SUM(N123)</f>
        <v>649500000</v>
      </c>
      <c r="O122" s="412"/>
      <c r="P122" s="413"/>
      <c r="Q122" s="412"/>
      <c r="R122" s="413"/>
      <c r="S122" s="321">
        <v>2</v>
      </c>
      <c r="T122" s="320">
        <f>SUM(T123)</f>
        <v>0</v>
      </c>
      <c r="U122" s="319">
        <v>2</v>
      </c>
      <c r="V122" s="320">
        <v>513950000</v>
      </c>
      <c r="W122" s="319">
        <f t="shared" si="21"/>
        <v>4</v>
      </c>
      <c r="X122" s="320">
        <f>SUM(P122+R122+T122+V122)</f>
        <v>513950000</v>
      </c>
      <c r="Y122" s="368">
        <f t="shared" si="43"/>
        <v>100</v>
      </c>
      <c r="Z122" s="461">
        <f>SUM(X122/N122)*100</f>
        <v>79.130100076982288</v>
      </c>
      <c r="AA122" s="339">
        <f t="shared" si="44"/>
        <v>20</v>
      </c>
      <c r="AB122" s="462">
        <f>SUM(L122+X122)</f>
        <v>1696753250</v>
      </c>
      <c r="AC122" s="369">
        <f t="shared" si="45"/>
        <v>100</v>
      </c>
      <c r="AD122" s="322">
        <f t="shared" ref="AD122:AD123" si="46">SUM(AB122/J122)*100</f>
        <v>111.69974332814152</v>
      </c>
      <c r="AE122" s="272"/>
      <c r="AF122" s="304"/>
      <c r="AG122" s="478"/>
      <c r="AH122" s="486"/>
      <c r="AI122" s="486"/>
    </row>
    <row r="123" spans="1:35" s="163" customFormat="1" ht="93" customHeight="1" x14ac:dyDescent="0.25">
      <c r="A123" s="162"/>
      <c r="B123" s="165">
        <v>1</v>
      </c>
      <c r="C123" s="165">
        <v>20</v>
      </c>
      <c r="D123" s="166" t="s">
        <v>73</v>
      </c>
      <c r="E123" s="166" t="s">
        <v>147</v>
      </c>
      <c r="F123" s="167" t="s">
        <v>96</v>
      </c>
      <c r="G123" s="114" t="s">
        <v>289</v>
      </c>
      <c r="H123" s="521" t="s">
        <v>290</v>
      </c>
      <c r="I123" s="44">
        <v>20</v>
      </c>
      <c r="J123" s="34">
        <v>1519030572</v>
      </c>
      <c r="K123" s="363">
        <f>12+4</f>
        <v>16</v>
      </c>
      <c r="L123" s="32">
        <f>591243250+591560000</f>
        <v>1182803250</v>
      </c>
      <c r="M123" s="45">
        <v>1</v>
      </c>
      <c r="N123" s="34">
        <v>649500000</v>
      </c>
      <c r="O123" s="171"/>
      <c r="P123" s="497">
        <v>4950000</v>
      </c>
      <c r="Q123" s="171"/>
      <c r="R123" s="406"/>
      <c r="S123" s="173"/>
      <c r="T123" s="32"/>
      <c r="U123" s="45"/>
      <c r="V123" s="32"/>
      <c r="W123" s="153">
        <f t="shared" si="21"/>
        <v>0</v>
      </c>
      <c r="X123" s="153">
        <f t="shared" si="21"/>
        <v>4950000</v>
      </c>
      <c r="Y123" s="38">
        <f t="shared" si="43"/>
        <v>0</v>
      </c>
      <c r="Z123" s="168">
        <f>SUM(X123/N123)*100</f>
        <v>0.76212471131639725</v>
      </c>
      <c r="AA123" s="338">
        <f t="shared" si="44"/>
        <v>16</v>
      </c>
      <c r="AB123" s="58">
        <f>SUM(L123+X123)</f>
        <v>1187753250</v>
      </c>
      <c r="AC123" s="143">
        <f t="shared" si="45"/>
        <v>80</v>
      </c>
      <c r="AD123" s="159">
        <f t="shared" si="46"/>
        <v>78.191530301866763</v>
      </c>
      <c r="AE123" s="315" t="s">
        <v>281</v>
      </c>
      <c r="AF123" s="304"/>
      <c r="AG123" s="478"/>
      <c r="AH123" s="486"/>
      <c r="AI123" s="486"/>
    </row>
    <row r="124" spans="1:35" ht="13.5" x14ac:dyDescent="0.25">
      <c r="A124" s="26"/>
      <c r="B124" s="111"/>
      <c r="C124" s="111"/>
      <c r="D124" s="112"/>
      <c r="E124" s="112"/>
      <c r="F124" s="113"/>
      <c r="G124" s="114"/>
      <c r="H124" s="249"/>
      <c r="I124" s="109"/>
      <c r="J124" s="106"/>
      <c r="K124" s="365"/>
      <c r="L124" s="236"/>
      <c r="M124" s="332"/>
      <c r="N124" s="253"/>
      <c r="O124" s="265"/>
      <c r="P124" s="414"/>
      <c r="Q124" s="390"/>
      <c r="R124" s="386"/>
      <c r="S124" s="46"/>
      <c r="T124" s="36"/>
      <c r="U124" s="45"/>
      <c r="V124" s="36"/>
      <c r="W124" s="237"/>
      <c r="X124" s="236"/>
      <c r="Y124" s="110"/>
      <c r="Z124" s="95"/>
      <c r="AA124" s="45"/>
      <c r="AB124" s="61"/>
      <c r="AC124" s="110"/>
      <c r="AD124" s="39"/>
      <c r="AE124" s="272"/>
      <c r="AF124" s="98"/>
      <c r="AG124" s="472"/>
      <c r="AH124" s="484"/>
      <c r="AI124" s="484"/>
    </row>
    <row r="125" spans="1:35" ht="13.5" x14ac:dyDescent="0.25">
      <c r="A125" s="26"/>
      <c r="B125" s="111"/>
      <c r="C125" s="111"/>
      <c r="D125" s="112"/>
      <c r="E125" s="112"/>
      <c r="F125" s="113"/>
      <c r="G125" s="114"/>
      <c r="H125" s="249"/>
      <c r="I125" s="109"/>
      <c r="J125" s="106"/>
      <c r="K125" s="365"/>
      <c r="L125" s="236"/>
      <c r="M125" s="332"/>
      <c r="N125" s="253"/>
      <c r="O125" s="265"/>
      <c r="P125" s="414"/>
      <c r="Q125" s="390"/>
      <c r="R125" s="386"/>
      <c r="S125" s="46"/>
      <c r="T125" s="36"/>
      <c r="U125" s="45"/>
      <c r="V125" s="36"/>
      <c r="W125" s="237"/>
      <c r="X125" s="236"/>
      <c r="Y125" s="110"/>
      <c r="Z125" s="95"/>
      <c r="AA125" s="45"/>
      <c r="AB125" s="61"/>
      <c r="AC125" s="110"/>
      <c r="AD125" s="39"/>
      <c r="AE125" s="272"/>
      <c r="AF125" s="98"/>
      <c r="AG125" s="472"/>
      <c r="AH125" s="484"/>
      <c r="AI125" s="484"/>
    </row>
    <row r="126" spans="1:35" ht="13.5" x14ac:dyDescent="0.25">
      <c r="A126" s="546" t="s">
        <v>229</v>
      </c>
      <c r="B126" s="546"/>
      <c r="C126" s="546"/>
      <c r="D126" s="546"/>
      <c r="E126" s="546"/>
      <c r="F126" s="546"/>
      <c r="G126" s="546"/>
      <c r="H126" s="546"/>
      <c r="I126" s="546"/>
      <c r="J126" s="546"/>
      <c r="K126" s="546"/>
      <c r="L126" s="546"/>
      <c r="M126" s="546"/>
      <c r="N126" s="546"/>
      <c r="O126" s="546"/>
      <c r="P126" s="546"/>
      <c r="Q126" s="546"/>
      <c r="R126" s="546"/>
      <c r="S126" s="546"/>
      <c r="T126" s="546"/>
      <c r="U126" s="546"/>
      <c r="V126" s="546"/>
      <c r="W126" s="546"/>
      <c r="X126" s="546"/>
      <c r="Y126" s="115" t="e">
        <f>SUM(Y123,Y121,Y120,Y119,Y117,Y115,Y112,Y109:Y110,Y108,Y107,Y106,Y105,Y104,Y103,Y101,Y100,Y99,Y97,Y96,Y95,Y94,Y91,Y90,Y88,Y87,Y86,Y85,Y84,Y82,Y81,Y80,Y79,Y73,Y72,Y71,Y70,Y69,Y68,Y67,Y66,Y65,Y64,Y63,Y62,Y54,Y53,Y52,Y51,Y50,Y49,Y48,Y46,Y45,Y42,Y41,Y38,Y37,Y36,Y35,Y34,Y33,Y32,Y26,Y25,Y24,Y23,Y22,Y21,Y20,Y19,Y18,Y17,Y16,Y15)/75</f>
        <v>#DIV/0!</v>
      </c>
      <c r="Z126" s="115" t="e">
        <f>SUM(Z123,Z121,Z120,Z119,Z117,Z115,Z112,Z109:Z110,Z108,Z107,Z106,Z105,Z104,Z103,Z101,Z100,Z99,Z97,Z96,Z95,Z94,Z91,Z90,Z88,Z87,Z86,Z85,Z84,Z82,Z81,Z80,Z79,Z73,Z72,Z71,Z70,Z69,Z68,Z67,Z66,Z65,Z64,Z63,Z62,Z54,Z53,Z52,Z51,Z50,Z49,Z48,Z46,Z45,Z42,Z41,Z38,Z37,Z36,Z35,Z34,Z33,Z32,Z26,Z25,Z24,Z23,Z22,Z21,Z20,Z19,Z18,Z17,Z16,Z15)/75</f>
        <v>#DIV/0!</v>
      </c>
      <c r="AA126" s="116"/>
      <c r="AB126" s="117"/>
      <c r="AC126" s="115">
        <f>SUM(AC123,AC121,AC120,AC119,AC117,AC115,AC112,AC109:AC110,AC108,AC107,AC106,AC105,AC104,AC103,AC101,AC100,AC99,AC97,AC96,AC95,AC94,AC91,AC90,AC88,AC87,AC86,AC85,AC84,AC82,AC81,AC80,AC79,AC73,AC72,AC71,AC70,AC69,AC68,AC67,AC66,AC65,AC64,AC63,AC62,AC54,AC53,AC52,AC51,AC50,AC49,AC48,AC46,AC45,AC42,AC41,AC38,AC37,AC36,AC35,AC34,AC33,AC32,AC26,AC25,AC24,AC23,AC22,AC21,AC20,AC19,AC18,AC17,AC16,AC15)/75</f>
        <v>1029.9373695802144</v>
      </c>
      <c r="AD126" s="115">
        <f>SUM(AD123,AD121,AD120,AD119,AD117,AD115,AD112,AD109:AD110,AD108,AD107,AD106,AD105,AD104,AD103,AD101,AD100,AD99,AD97,AD96,AD95,AD94,AD91,AD90,AD88,AD87,AD86,AD85,AD84,AD82,AD81,AD80,AD79,AD73,AD72,AD71,AD70,AD69,AD68,AD67,AD66,AD65,AD64,AD63,AD62,AD54,AD53,AD52,AD51,AD50,AD49,AD48,AD46,AD45,AD42,AD41,AD38,AD37,AD36,AD35,AD34,AD33,AD32,AD26,AD25,AD24,AD23,AD22,AD21,AD20,AD19,AD18,AD17,AD16,AD15)/75</f>
        <v>57.420618815439184</v>
      </c>
      <c r="AE126" s="118"/>
      <c r="AF126" s="26"/>
      <c r="AG126" s="480"/>
      <c r="AH126" s="484"/>
      <c r="AI126" s="484"/>
    </row>
    <row r="127" spans="1:35" ht="13.5" x14ac:dyDescent="0.25">
      <c r="A127" s="546" t="s">
        <v>230</v>
      </c>
      <c r="B127" s="546"/>
      <c r="C127" s="546"/>
      <c r="D127" s="546"/>
      <c r="E127" s="546"/>
      <c r="F127" s="546"/>
      <c r="G127" s="546"/>
      <c r="H127" s="546"/>
      <c r="I127" s="546"/>
      <c r="J127" s="546"/>
      <c r="K127" s="546"/>
      <c r="L127" s="554"/>
      <c r="M127" s="554"/>
      <c r="N127" s="554"/>
      <c r="O127" s="554"/>
      <c r="P127" s="554"/>
      <c r="Q127" s="554"/>
      <c r="R127" s="554"/>
      <c r="S127" s="554"/>
      <c r="T127" s="554"/>
      <c r="U127" s="554"/>
      <c r="V127" s="554"/>
      <c r="W127" s="554"/>
      <c r="X127" s="554"/>
      <c r="Y127" s="119"/>
      <c r="Z127" s="120"/>
      <c r="AA127" s="121"/>
      <c r="AB127" s="122"/>
      <c r="AC127" s="123"/>
      <c r="AD127" s="36"/>
      <c r="AE127" s="118"/>
      <c r="AF127" s="26"/>
      <c r="AG127" s="480"/>
      <c r="AH127" s="484"/>
      <c r="AI127" s="484"/>
    </row>
    <row r="128" spans="1:35" ht="13.5" x14ac:dyDescent="0.25">
      <c r="A128" s="555" t="s">
        <v>231</v>
      </c>
      <c r="B128" s="556"/>
      <c r="C128" s="556"/>
      <c r="D128" s="556"/>
      <c r="E128" s="556"/>
      <c r="F128" s="556"/>
      <c r="G128" s="556"/>
      <c r="H128" s="556"/>
      <c r="I128" s="556"/>
      <c r="J128" s="254">
        <f>SUM(J122,J56,J47,J44,J40,J29,J14)</f>
        <v>164000918182.5</v>
      </c>
      <c r="K128" s="366"/>
      <c r="L128" s="254">
        <f>SUM(L122,L56,L47,L44,L40,L29,L14)</f>
        <v>59365626626</v>
      </c>
      <c r="M128" s="333"/>
      <c r="N128" s="254">
        <f>SUM(N122,N56,N47,N44,N40,N29,N14)</f>
        <v>20595432915</v>
      </c>
      <c r="O128" s="269"/>
      <c r="P128" s="254">
        <f>SUM(P122,P56,P47,P44,P40,P29,P14)</f>
        <v>1288860062</v>
      </c>
      <c r="Q128" s="415"/>
      <c r="R128" s="254">
        <f>SUM(R122,R56,R47,R44,R40,R29,R14)</f>
        <v>3011320092</v>
      </c>
      <c r="S128" s="125"/>
      <c r="T128" s="124">
        <f>T14+T29+T40+T44+T47+T56</f>
        <v>0</v>
      </c>
      <c r="U128" s="125"/>
      <c r="V128" s="124">
        <f>V14+V29+V40+V44+V47+V56</f>
        <v>0</v>
      </c>
      <c r="W128" s="243"/>
      <c r="X128" s="254">
        <f>SUM(X122,X56,X47,X44,X40,X29,X14)</f>
        <v>4814130154</v>
      </c>
      <c r="Y128" s="126"/>
      <c r="Z128" s="126"/>
      <c r="AA128" s="127"/>
      <c r="AB128" s="254">
        <f>SUM(AB122,AB56,AB47,AB44,AB40,AB29,AB14)</f>
        <v>64179756780</v>
      </c>
      <c r="AC128" s="128"/>
      <c r="AD128" s="129"/>
      <c r="AE128" s="130"/>
      <c r="AF128" s="26"/>
      <c r="AG128" s="480"/>
      <c r="AH128" s="484"/>
      <c r="AI128" s="484"/>
    </row>
    <row r="129" spans="1:35" ht="13.5" x14ac:dyDescent="0.25">
      <c r="A129" s="131"/>
      <c r="B129" s="131"/>
      <c r="C129" s="131"/>
      <c r="D129" s="131"/>
      <c r="E129" s="131"/>
      <c r="F129" s="131"/>
      <c r="G129" s="131"/>
      <c r="H129" s="250"/>
      <c r="I129" s="131"/>
      <c r="J129" s="131"/>
      <c r="K129" s="367"/>
      <c r="L129" s="241"/>
      <c r="M129" s="334"/>
      <c r="N129" s="255"/>
      <c r="O129" s="270"/>
      <c r="P129" s="416"/>
      <c r="Q129" s="417"/>
      <c r="R129" s="418"/>
      <c r="S129" s="133"/>
      <c r="T129" s="132"/>
      <c r="U129" s="132"/>
      <c r="V129" s="132"/>
      <c r="W129" s="240"/>
      <c r="X129" s="244"/>
      <c r="Y129" s="134"/>
      <c r="Z129" s="135"/>
      <c r="AA129" s="136"/>
      <c r="AB129" s="135"/>
      <c r="AC129" s="134"/>
      <c r="AD129" s="132"/>
      <c r="AE129" s="131"/>
      <c r="AF129" s="26"/>
      <c r="AG129" s="480"/>
      <c r="AH129" s="484"/>
      <c r="AI129" s="484"/>
    </row>
    <row r="130" spans="1:35" ht="13.5" x14ac:dyDescent="0.25">
      <c r="A130" s="546" t="s">
        <v>232</v>
      </c>
      <c r="B130" s="546"/>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137">
        <f>(Y14+Y29+Y40+Y44+Y47+Y56+Y57+Y58+Y59+Y60+Y61+Y122)/12</f>
        <v>81.496966272962496</v>
      </c>
      <c r="Z130" s="137">
        <f>(Z14+Z29+Z40+Z44+Z47+Z56+Z122)/7</f>
        <v>34.711038472255801</v>
      </c>
      <c r="AA130" s="116"/>
      <c r="AB130" s="117"/>
      <c r="AC130" s="137">
        <f>(AC14+AC29+AC40+AC44+AC47+AC56+AC57+AC58+AC59+AC60+AC61+AC122)/12</f>
        <v>99.318833493548823</v>
      </c>
      <c r="AD130" s="137">
        <f>(AD14+AD29+AD40+AD44+AD47+AD56+AD122)/7</f>
        <v>50.63683188974079</v>
      </c>
      <c r="AE130" s="138"/>
      <c r="AF130" s="26"/>
      <c r="AG130" s="480"/>
      <c r="AH130" s="484"/>
      <c r="AI130" s="484"/>
    </row>
    <row r="131" spans="1:35" ht="13.5" x14ac:dyDescent="0.25">
      <c r="A131" s="546" t="s">
        <v>233</v>
      </c>
      <c r="B131" s="546"/>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139"/>
      <c r="Z131" s="140"/>
      <c r="AA131" s="116"/>
      <c r="AB131" s="117"/>
      <c r="AC131" s="141"/>
      <c r="AD131" s="142"/>
      <c r="AE131" s="138"/>
      <c r="AF131" s="26"/>
      <c r="AG131" s="480"/>
      <c r="AH131" s="484"/>
      <c r="AI131" s="484"/>
    </row>
    <row r="132" spans="1:35" ht="13.5" x14ac:dyDescent="0.25">
      <c r="A132" s="543" t="s">
        <v>234</v>
      </c>
      <c r="B132" s="543"/>
      <c r="C132" s="543"/>
      <c r="D132" s="543"/>
      <c r="E132" s="543"/>
      <c r="F132" s="543"/>
      <c r="G132" s="543"/>
      <c r="H132" s="543"/>
      <c r="I132" s="543"/>
      <c r="J132" s="543"/>
      <c r="K132" s="543"/>
      <c r="L132" s="543"/>
      <c r="M132" s="543"/>
      <c r="N132" s="543"/>
      <c r="O132" s="543"/>
      <c r="P132" s="543"/>
      <c r="Q132" s="543"/>
      <c r="R132" s="543"/>
      <c r="S132" s="543"/>
      <c r="T132" s="543"/>
      <c r="U132" s="543"/>
      <c r="V132" s="543"/>
      <c r="W132" s="543"/>
      <c r="X132" s="543"/>
      <c r="Y132" s="543"/>
      <c r="Z132" s="543"/>
      <c r="AA132" s="543"/>
      <c r="AB132" s="543"/>
      <c r="AC132" s="543"/>
      <c r="AD132" s="543"/>
      <c r="AE132" s="544"/>
      <c r="AF132" s="26"/>
      <c r="AG132" s="480"/>
      <c r="AH132" s="484"/>
      <c r="AI132" s="484"/>
    </row>
    <row r="133" spans="1:35" ht="13.5" x14ac:dyDescent="0.25">
      <c r="A133" s="543" t="s">
        <v>235</v>
      </c>
      <c r="B133" s="543"/>
      <c r="C133" s="543"/>
      <c r="D133" s="543"/>
      <c r="E133" s="543"/>
      <c r="F133" s="543"/>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4"/>
      <c r="AF133" s="26"/>
      <c r="AG133" s="480"/>
      <c r="AH133" s="484"/>
      <c r="AI133" s="484"/>
    </row>
    <row r="134" spans="1:35" ht="13.5" x14ac:dyDescent="0.25">
      <c r="A134" s="543" t="s">
        <v>236</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4"/>
      <c r="AF134" s="26"/>
      <c r="AG134" s="480"/>
      <c r="AH134" s="484"/>
      <c r="AI134" s="484"/>
    </row>
    <row r="135" spans="1:35" ht="13.5" x14ac:dyDescent="0.25">
      <c r="A135" s="543" t="s">
        <v>237</v>
      </c>
      <c r="B135" s="543"/>
      <c r="C135" s="543"/>
      <c r="D135" s="543"/>
      <c r="E135" s="543"/>
      <c r="F135" s="543"/>
      <c r="G135" s="543"/>
      <c r="H135" s="543"/>
      <c r="I135" s="543"/>
      <c r="J135" s="543"/>
      <c r="K135" s="543"/>
      <c r="L135" s="543"/>
      <c r="M135" s="543"/>
      <c r="N135" s="543"/>
      <c r="O135" s="543"/>
      <c r="P135" s="543"/>
      <c r="Q135" s="543"/>
      <c r="R135" s="543"/>
      <c r="S135" s="543"/>
      <c r="T135" s="543"/>
      <c r="U135" s="543"/>
      <c r="V135" s="543"/>
      <c r="W135" s="543"/>
      <c r="X135" s="543"/>
      <c r="Y135" s="543"/>
      <c r="Z135" s="543"/>
      <c r="AA135" s="543"/>
      <c r="AB135" s="543"/>
      <c r="AC135" s="543"/>
      <c r="AD135" s="543"/>
      <c r="AE135" s="544"/>
      <c r="AF135" s="26"/>
      <c r="AG135" s="480"/>
      <c r="AH135" s="484"/>
      <c r="AI135" s="484"/>
    </row>
    <row r="136" spans="1:35" ht="18.75" customHeight="1" x14ac:dyDescent="0.15">
      <c r="K136" s="341"/>
      <c r="L136" s="9"/>
      <c r="M136" s="8"/>
      <c r="N136" s="324"/>
      <c r="O136" s="325"/>
      <c r="P136" s="419"/>
      <c r="Q136" s="325"/>
      <c r="R136" s="419"/>
      <c r="S136" s="326"/>
      <c r="T136" s="324"/>
      <c r="U136" s="324"/>
      <c r="V136" s="324"/>
      <c r="W136" s="8"/>
      <c r="X136" s="12"/>
      <c r="Z136" s="6"/>
      <c r="AB136" s="6"/>
    </row>
    <row r="137" spans="1:35" ht="15" x14ac:dyDescent="0.25">
      <c r="K137" s="341"/>
      <c r="L137" s="9"/>
      <c r="M137" s="8"/>
      <c r="N137" s="12"/>
      <c r="O137" s="273"/>
      <c r="P137" s="395"/>
      <c r="Q137" s="273"/>
      <c r="R137" s="395"/>
      <c r="S137" s="326"/>
      <c r="T137" s="324"/>
      <c r="U137" s="324"/>
      <c r="V137" s="324"/>
      <c r="W137" s="8"/>
      <c r="X137" s="12"/>
      <c r="Y137" s="537" t="s">
        <v>238</v>
      </c>
      <c r="Z137" s="537"/>
      <c r="AA137" s="537"/>
      <c r="AB137" s="537"/>
      <c r="AC137" s="537"/>
      <c r="AD137" s="537"/>
      <c r="AE137" s="324"/>
    </row>
    <row r="138" spans="1:35" ht="15" x14ac:dyDescent="0.25">
      <c r="K138" s="341"/>
      <c r="L138" s="9"/>
      <c r="M138" s="8"/>
      <c r="N138" s="12"/>
      <c r="O138" s="273"/>
      <c r="P138" s="395"/>
      <c r="Q138" s="273"/>
      <c r="R138" s="395"/>
      <c r="S138" s="326"/>
      <c r="T138" s="324"/>
      <c r="U138" s="324"/>
      <c r="V138" s="324"/>
      <c r="W138" s="8"/>
      <c r="X138" s="12"/>
      <c r="Y138" s="545" t="s">
        <v>377</v>
      </c>
      <c r="Z138" s="545"/>
      <c r="AA138" s="545"/>
      <c r="AB138" s="545"/>
      <c r="AC138" s="545"/>
      <c r="AD138" s="545"/>
      <c r="AE138" s="545"/>
    </row>
    <row r="139" spans="1:35" ht="15" x14ac:dyDescent="0.25">
      <c r="K139" s="341"/>
      <c r="L139" s="9"/>
      <c r="M139" s="8"/>
      <c r="N139" s="12"/>
      <c r="O139" s="273"/>
      <c r="P139" s="395"/>
      <c r="Q139" s="273"/>
      <c r="R139" s="395"/>
      <c r="S139" s="326"/>
      <c r="T139" s="324"/>
      <c r="U139" s="324"/>
      <c r="V139" s="324"/>
      <c r="W139" s="8"/>
      <c r="X139" s="12"/>
      <c r="Y139" s="537" t="s">
        <v>291</v>
      </c>
      <c r="Z139" s="537"/>
      <c r="AA139" s="537"/>
      <c r="AB139" s="537"/>
      <c r="AC139" s="537"/>
      <c r="AD139" s="537"/>
      <c r="AE139" s="537"/>
    </row>
    <row r="140" spans="1:35" ht="15" x14ac:dyDescent="0.25">
      <c r="K140" s="341"/>
      <c r="L140" s="9"/>
      <c r="M140" s="8"/>
      <c r="N140" s="12"/>
      <c r="O140" s="273"/>
      <c r="P140" s="395"/>
      <c r="Q140" s="273"/>
      <c r="R140" s="395"/>
      <c r="S140" s="326"/>
      <c r="T140" s="324"/>
      <c r="U140" s="324"/>
      <c r="V140" s="324"/>
      <c r="W140" s="8"/>
      <c r="X140" s="12"/>
      <c r="Y140" s="538"/>
      <c r="Z140" s="538"/>
      <c r="AA140" s="538"/>
      <c r="AB140" s="538"/>
      <c r="AC140" s="538"/>
      <c r="AD140" s="538"/>
      <c r="AE140" s="538"/>
    </row>
    <row r="141" spans="1:35" ht="15" x14ac:dyDescent="0.25">
      <c r="K141" s="341"/>
      <c r="L141" s="9"/>
      <c r="M141" s="8"/>
      <c r="N141" s="12"/>
      <c r="O141" s="273"/>
      <c r="P141" s="395"/>
      <c r="Q141" s="273"/>
      <c r="R141" s="395"/>
      <c r="S141" s="326"/>
      <c r="T141" s="324"/>
      <c r="U141" s="324"/>
      <c r="V141" s="324"/>
      <c r="W141" s="8"/>
      <c r="X141" s="12"/>
      <c r="Y141" s="492"/>
      <c r="Z141" s="492"/>
      <c r="AA141" s="492"/>
      <c r="AB141" s="492"/>
      <c r="AC141" s="492"/>
      <c r="AD141" s="492"/>
      <c r="AE141" s="492"/>
    </row>
    <row r="142" spans="1:35" ht="15" x14ac:dyDescent="0.25">
      <c r="K142" s="341"/>
      <c r="L142" s="9"/>
      <c r="M142" s="8"/>
      <c r="N142" s="12"/>
      <c r="O142" s="273"/>
      <c r="P142" s="395"/>
      <c r="Q142" s="273"/>
      <c r="R142" s="395"/>
      <c r="S142" s="326"/>
      <c r="T142" s="324"/>
      <c r="U142" s="324"/>
      <c r="V142" s="324"/>
      <c r="W142" s="8"/>
      <c r="X142" s="12"/>
      <c r="Y142" s="492"/>
      <c r="Z142" s="492"/>
      <c r="AA142" s="492"/>
      <c r="AB142" s="492"/>
      <c r="AC142" s="492"/>
      <c r="AD142" s="492"/>
      <c r="AE142" s="492"/>
    </row>
    <row r="143" spans="1:35" ht="15" x14ac:dyDescent="0.25">
      <c r="K143" s="341"/>
      <c r="L143" s="9"/>
      <c r="M143" s="8"/>
      <c r="N143" s="12"/>
      <c r="O143" s="273"/>
      <c r="P143" s="395"/>
      <c r="Q143" s="273"/>
      <c r="R143" s="395"/>
      <c r="S143" s="326"/>
      <c r="T143" s="324"/>
      <c r="U143" s="324"/>
      <c r="V143" s="324"/>
      <c r="W143" s="8"/>
      <c r="X143" s="12"/>
      <c r="Y143" s="443"/>
      <c r="Z143" s="443"/>
      <c r="AA143" s="443"/>
      <c r="AB143" s="327"/>
      <c r="AC143" s="443"/>
      <c r="AD143" s="443"/>
      <c r="AE143" s="443"/>
    </row>
    <row r="144" spans="1:35" ht="15" x14ac:dyDescent="0.25">
      <c r="K144" s="341"/>
      <c r="L144" s="9"/>
      <c r="M144" s="8"/>
      <c r="N144" s="12"/>
      <c r="O144" s="273"/>
      <c r="P144" s="395"/>
      <c r="Q144" s="273"/>
      <c r="R144" s="395"/>
      <c r="S144" s="326"/>
      <c r="T144" s="324"/>
      <c r="U144" s="324"/>
      <c r="V144" s="324"/>
      <c r="W144" s="8"/>
      <c r="X144" s="12"/>
      <c r="Y144" s="443"/>
      <c r="Z144" s="443"/>
      <c r="AA144" s="443"/>
      <c r="AB144" s="327"/>
      <c r="AC144" s="443"/>
      <c r="AD144" s="443"/>
      <c r="AE144" s="443"/>
    </row>
    <row r="145" spans="11:31" ht="15.75" customHeight="1" x14ac:dyDescent="0.3">
      <c r="K145" s="341"/>
      <c r="L145" s="9"/>
      <c r="M145" s="8"/>
      <c r="N145" s="12"/>
      <c r="O145" s="273"/>
      <c r="P145" s="395"/>
      <c r="Q145" s="273"/>
      <c r="R145" s="395"/>
      <c r="S145" s="326"/>
      <c r="T145" s="324"/>
      <c r="U145" s="324"/>
      <c r="V145" s="324"/>
      <c r="W145" s="8"/>
      <c r="X145" s="12"/>
      <c r="Y145" s="539" t="s">
        <v>239</v>
      </c>
      <c r="Z145" s="539"/>
      <c r="AA145" s="539"/>
      <c r="AB145" s="539"/>
      <c r="AC145" s="539"/>
      <c r="AD145" s="539"/>
      <c r="AE145" s="539"/>
    </row>
    <row r="146" spans="11:31" ht="15" x14ac:dyDescent="0.3">
      <c r="K146" s="341"/>
      <c r="L146" s="9"/>
      <c r="M146" s="8"/>
      <c r="N146" s="12"/>
      <c r="O146" s="273"/>
      <c r="P146" s="395"/>
      <c r="Q146" s="273"/>
      <c r="R146" s="395"/>
      <c r="S146" s="328"/>
      <c r="T146" s="12"/>
      <c r="U146" s="12"/>
      <c r="V146" s="12"/>
      <c r="W146" s="8"/>
      <c r="X146" s="12"/>
      <c r="Y146" s="542" t="s">
        <v>240</v>
      </c>
      <c r="Z146" s="542"/>
      <c r="AA146" s="542"/>
      <c r="AB146" s="542"/>
      <c r="AC146" s="542"/>
      <c r="AD146" s="542"/>
      <c r="AE146" s="542"/>
    </row>
    <row r="147" spans="11:31" x14ac:dyDescent="0.15">
      <c r="K147" s="341"/>
      <c r="L147" s="9"/>
      <c r="M147" s="8"/>
      <c r="N147" s="12"/>
      <c r="O147" s="273"/>
      <c r="P147" s="395"/>
      <c r="Q147" s="273"/>
      <c r="R147" s="395"/>
      <c r="S147" s="328"/>
      <c r="T147" s="12"/>
      <c r="U147" s="12"/>
      <c r="V147" s="12"/>
      <c r="W147" s="8"/>
      <c r="X147" s="12"/>
    </row>
    <row r="148" spans="11:31" x14ac:dyDescent="0.15">
      <c r="K148" s="341"/>
      <c r="L148" s="9"/>
      <c r="M148" s="8"/>
      <c r="N148" s="12"/>
      <c r="O148" s="273"/>
      <c r="P148" s="395"/>
      <c r="Q148" s="273"/>
      <c r="R148" s="395"/>
      <c r="S148" s="328"/>
      <c r="T148" s="12"/>
      <c r="U148" s="12"/>
      <c r="V148" s="12"/>
      <c r="W148" s="8"/>
      <c r="X148" s="12"/>
    </row>
    <row r="149" spans="11:31" x14ac:dyDescent="0.15">
      <c r="K149" s="341"/>
      <c r="L149" s="9"/>
      <c r="M149" s="8"/>
      <c r="N149" s="12"/>
      <c r="O149" s="273"/>
      <c r="P149" s="395"/>
      <c r="Q149" s="273"/>
      <c r="R149" s="395"/>
      <c r="S149" s="328"/>
      <c r="T149" s="12"/>
      <c r="U149" s="12"/>
      <c r="V149" s="12"/>
      <c r="W149" s="8"/>
      <c r="X149" s="12"/>
    </row>
    <row r="150" spans="11:31" x14ac:dyDescent="0.15">
      <c r="K150" s="341"/>
      <c r="L150" s="9"/>
      <c r="M150" s="8"/>
      <c r="N150" s="12"/>
      <c r="O150" s="273"/>
      <c r="P150" s="395"/>
      <c r="Q150" s="273"/>
      <c r="R150" s="395"/>
      <c r="S150" s="328"/>
      <c r="T150" s="12"/>
      <c r="U150" s="12"/>
      <c r="V150" s="12"/>
      <c r="W150" s="8"/>
      <c r="X150" s="12"/>
    </row>
    <row r="151" spans="11:31" x14ac:dyDescent="0.15">
      <c r="K151" s="341"/>
      <c r="L151" s="9"/>
      <c r="M151" s="8"/>
      <c r="N151" s="12"/>
      <c r="O151" s="273"/>
      <c r="P151" s="395"/>
      <c r="Q151" s="273"/>
      <c r="R151" s="395"/>
      <c r="S151" s="328"/>
      <c r="T151" s="12"/>
      <c r="U151" s="12"/>
      <c r="V151" s="12"/>
      <c r="W151" s="8"/>
      <c r="X151" s="12"/>
    </row>
    <row r="152" spans="11:31" x14ac:dyDescent="0.15">
      <c r="K152" s="341"/>
      <c r="L152" s="9"/>
      <c r="M152" s="8"/>
      <c r="N152" s="12"/>
      <c r="O152" s="273"/>
      <c r="P152" s="395"/>
      <c r="Q152" s="273"/>
      <c r="R152" s="395"/>
      <c r="S152" s="328"/>
      <c r="T152" s="12"/>
      <c r="U152" s="12"/>
      <c r="V152" s="12"/>
      <c r="W152" s="8"/>
      <c r="X152" s="12"/>
    </row>
    <row r="153" spans="11:31" x14ac:dyDescent="0.15">
      <c r="K153" s="341"/>
      <c r="L153" s="9"/>
      <c r="M153" s="8"/>
      <c r="N153" s="12"/>
      <c r="O153" s="273"/>
      <c r="P153" s="395"/>
      <c r="Q153" s="273"/>
      <c r="R153" s="395"/>
      <c r="S153" s="328"/>
      <c r="T153" s="12"/>
      <c r="U153" s="12"/>
      <c r="V153" s="12"/>
      <c r="W153" s="8"/>
      <c r="X153" s="12"/>
    </row>
    <row r="154" spans="11:31" x14ac:dyDescent="0.15">
      <c r="K154" s="341"/>
      <c r="L154" s="9"/>
      <c r="M154" s="8"/>
      <c r="N154" s="12"/>
      <c r="O154" s="273"/>
      <c r="P154" s="395"/>
      <c r="Q154" s="273"/>
      <c r="R154" s="395"/>
      <c r="S154" s="328"/>
      <c r="T154" s="12"/>
      <c r="U154" s="12"/>
      <c r="V154" s="12"/>
      <c r="W154" s="8"/>
      <c r="X154" s="12"/>
    </row>
    <row r="155" spans="11:31" x14ac:dyDescent="0.15">
      <c r="K155" s="341"/>
      <c r="L155" s="9"/>
      <c r="M155" s="8"/>
      <c r="N155" s="12"/>
      <c r="O155" s="273"/>
      <c r="P155" s="395"/>
      <c r="Q155" s="273"/>
      <c r="R155" s="395"/>
      <c r="S155" s="328"/>
      <c r="T155" s="12"/>
      <c r="U155" s="12"/>
      <c r="V155" s="12"/>
      <c r="W155" s="8"/>
      <c r="X155" s="12"/>
    </row>
    <row r="156" spans="11:31" x14ac:dyDescent="0.15">
      <c r="K156" s="341"/>
      <c r="L156" s="9"/>
      <c r="M156" s="8"/>
      <c r="N156" s="12"/>
      <c r="O156" s="273"/>
      <c r="P156" s="395"/>
      <c r="Q156" s="273"/>
      <c r="R156" s="395"/>
      <c r="S156" s="328"/>
      <c r="T156" s="12"/>
      <c r="U156" s="12"/>
      <c r="V156" s="12"/>
      <c r="W156" s="8"/>
      <c r="X156" s="12"/>
    </row>
    <row r="157" spans="11:31" x14ac:dyDescent="0.15">
      <c r="K157" s="341"/>
      <c r="L157" s="9"/>
      <c r="M157" s="8"/>
      <c r="N157" s="12"/>
      <c r="O157" s="273"/>
      <c r="P157" s="395"/>
      <c r="Q157" s="273"/>
      <c r="R157" s="395"/>
      <c r="S157" s="328"/>
      <c r="T157" s="12"/>
      <c r="U157" s="12"/>
      <c r="V157" s="12"/>
      <c r="W157" s="8"/>
      <c r="X157" s="12"/>
    </row>
    <row r="158" spans="11:31" x14ac:dyDescent="0.15">
      <c r="K158" s="341"/>
      <c r="L158" s="9"/>
      <c r="M158" s="8"/>
      <c r="N158" s="12"/>
      <c r="O158" s="273"/>
      <c r="P158" s="395"/>
      <c r="Q158" s="273"/>
      <c r="R158" s="395"/>
      <c r="S158" s="328"/>
      <c r="T158" s="12"/>
      <c r="U158" s="12"/>
      <c r="V158" s="12"/>
      <c r="W158" s="8"/>
      <c r="X158" s="12"/>
    </row>
    <row r="159" spans="11:31" x14ac:dyDescent="0.15">
      <c r="K159" s="341"/>
      <c r="L159" s="9"/>
      <c r="M159" s="8"/>
      <c r="N159" s="12"/>
      <c r="O159" s="273"/>
      <c r="P159" s="395"/>
      <c r="Q159" s="273"/>
      <c r="R159" s="395"/>
      <c r="S159" s="328"/>
      <c r="T159" s="12"/>
      <c r="U159" s="12"/>
      <c r="V159" s="12"/>
      <c r="W159" s="8"/>
      <c r="X159" s="12"/>
    </row>
    <row r="160" spans="11:31" x14ac:dyDescent="0.15">
      <c r="K160" s="341"/>
      <c r="L160" s="9"/>
      <c r="M160" s="8"/>
      <c r="N160" s="12"/>
      <c r="O160" s="273"/>
      <c r="P160" s="395"/>
      <c r="Q160" s="273"/>
      <c r="R160" s="395"/>
      <c r="S160" s="328"/>
      <c r="T160" s="12"/>
      <c r="U160" s="12"/>
      <c r="V160" s="12"/>
      <c r="W160" s="8"/>
      <c r="X160" s="12"/>
    </row>
    <row r="161" spans="11:24" x14ac:dyDescent="0.15">
      <c r="K161" s="341"/>
      <c r="L161" s="9"/>
      <c r="M161" s="8"/>
      <c r="N161" s="12"/>
      <c r="O161" s="273"/>
      <c r="P161" s="395"/>
      <c r="Q161" s="273"/>
      <c r="R161" s="395"/>
      <c r="S161" s="328"/>
      <c r="T161" s="12"/>
      <c r="U161" s="12"/>
      <c r="V161" s="12"/>
      <c r="W161" s="8"/>
      <c r="X161" s="12"/>
    </row>
    <row r="162" spans="11:24" x14ac:dyDescent="0.15">
      <c r="K162" s="341"/>
      <c r="L162" s="9"/>
      <c r="M162" s="8"/>
      <c r="N162" s="12"/>
      <c r="O162" s="273"/>
      <c r="P162" s="395"/>
      <c r="Q162" s="273"/>
      <c r="R162" s="395"/>
      <c r="S162" s="328"/>
      <c r="T162" s="12"/>
      <c r="U162" s="12"/>
      <c r="V162" s="12"/>
      <c r="W162" s="8"/>
      <c r="X162" s="12"/>
    </row>
    <row r="163" spans="11:24" x14ac:dyDescent="0.15">
      <c r="K163" s="341"/>
      <c r="L163" s="9"/>
      <c r="M163" s="8"/>
      <c r="N163" s="12"/>
      <c r="O163" s="273"/>
      <c r="P163" s="395"/>
      <c r="Q163" s="273"/>
      <c r="R163" s="395"/>
      <c r="S163" s="328"/>
      <c r="T163" s="12"/>
      <c r="U163" s="12"/>
      <c r="V163" s="12"/>
      <c r="W163" s="8"/>
      <c r="X163" s="12"/>
    </row>
    <row r="164" spans="11:24" x14ac:dyDescent="0.15">
      <c r="K164" s="341"/>
      <c r="L164" s="9"/>
      <c r="M164" s="8"/>
      <c r="N164" s="12"/>
      <c r="O164" s="273"/>
      <c r="P164" s="395"/>
      <c r="Q164" s="273"/>
      <c r="R164" s="395"/>
      <c r="S164" s="328"/>
      <c r="T164" s="12"/>
      <c r="U164" s="12"/>
      <c r="V164" s="12"/>
      <c r="W164" s="8"/>
      <c r="X164" s="12"/>
    </row>
    <row r="165" spans="11:24" x14ac:dyDescent="0.15">
      <c r="K165" s="341"/>
      <c r="L165" s="9"/>
      <c r="M165" s="8"/>
      <c r="N165" s="12"/>
      <c r="O165" s="273"/>
      <c r="P165" s="395"/>
      <c r="Q165" s="273"/>
      <c r="R165" s="395"/>
      <c r="S165" s="328"/>
      <c r="T165" s="12"/>
      <c r="U165" s="12"/>
      <c r="V165" s="12"/>
      <c r="W165" s="8"/>
      <c r="X165" s="12"/>
    </row>
    <row r="166" spans="11:24" x14ac:dyDescent="0.15">
      <c r="K166" s="341"/>
      <c r="L166" s="9"/>
      <c r="M166" s="8"/>
      <c r="N166" s="12"/>
      <c r="O166" s="273"/>
      <c r="P166" s="395"/>
      <c r="Q166" s="273"/>
      <c r="R166" s="395"/>
      <c r="S166" s="328"/>
      <c r="T166" s="12"/>
      <c r="U166" s="12"/>
      <c r="V166" s="12"/>
      <c r="W166" s="8"/>
      <c r="X166" s="12"/>
    </row>
    <row r="167" spans="11:24" x14ac:dyDescent="0.15">
      <c r="K167" s="341"/>
      <c r="L167" s="9"/>
      <c r="M167" s="8"/>
      <c r="N167" s="12"/>
      <c r="O167" s="273"/>
      <c r="P167" s="395"/>
      <c r="Q167" s="273"/>
      <c r="R167" s="395"/>
      <c r="S167" s="328"/>
      <c r="T167" s="12"/>
      <c r="U167" s="12"/>
      <c r="V167" s="12"/>
      <c r="W167" s="8"/>
      <c r="X167" s="12"/>
    </row>
    <row r="168" spans="11:24" x14ac:dyDescent="0.15">
      <c r="K168" s="341"/>
      <c r="L168" s="9"/>
      <c r="M168" s="8"/>
      <c r="N168" s="12"/>
      <c r="O168" s="273"/>
      <c r="P168" s="395"/>
      <c r="Q168" s="273"/>
      <c r="R168" s="395"/>
      <c r="S168" s="328"/>
      <c r="T168" s="12"/>
      <c r="U168" s="12"/>
      <c r="V168" s="12"/>
      <c r="W168" s="8"/>
      <c r="X168" s="12"/>
    </row>
    <row r="169" spans="11:24" x14ac:dyDescent="0.15">
      <c r="K169" s="341"/>
      <c r="L169" s="9"/>
      <c r="M169" s="8"/>
      <c r="N169" s="12"/>
      <c r="O169" s="273"/>
      <c r="P169" s="395"/>
      <c r="Q169" s="273"/>
      <c r="R169" s="395"/>
      <c r="S169" s="328"/>
      <c r="T169" s="12"/>
      <c r="U169" s="12"/>
      <c r="V169" s="12"/>
      <c r="W169" s="8"/>
      <c r="X169" s="12"/>
    </row>
    <row r="170" spans="11:24" x14ac:dyDescent="0.15">
      <c r="K170" s="341"/>
      <c r="L170" s="9"/>
      <c r="M170" s="8"/>
      <c r="N170" s="12"/>
      <c r="O170" s="273"/>
      <c r="P170" s="395"/>
      <c r="Q170" s="273"/>
      <c r="R170" s="395"/>
      <c r="S170" s="328"/>
      <c r="T170" s="12"/>
      <c r="U170" s="12"/>
      <c r="V170" s="12"/>
      <c r="W170" s="8"/>
      <c r="X170" s="12"/>
    </row>
    <row r="171" spans="11:24" x14ac:dyDescent="0.15">
      <c r="K171" s="341"/>
      <c r="L171" s="9"/>
      <c r="M171" s="8"/>
      <c r="N171" s="12"/>
      <c r="O171" s="273"/>
      <c r="P171" s="395"/>
      <c r="Q171" s="273"/>
      <c r="R171" s="395"/>
      <c r="S171" s="328"/>
      <c r="T171" s="12"/>
      <c r="U171" s="12"/>
      <c r="V171" s="12"/>
      <c r="W171" s="8"/>
      <c r="X171" s="12"/>
    </row>
    <row r="172" spans="11:24" x14ac:dyDescent="0.15">
      <c r="K172" s="341"/>
      <c r="L172" s="9"/>
      <c r="M172" s="8"/>
      <c r="N172" s="12"/>
      <c r="O172" s="273"/>
      <c r="P172" s="395"/>
      <c r="Q172" s="273"/>
      <c r="R172" s="395"/>
      <c r="S172" s="328"/>
      <c r="T172" s="12"/>
      <c r="U172" s="12"/>
      <c r="V172" s="12"/>
      <c r="W172" s="8"/>
      <c r="X172" s="12"/>
    </row>
    <row r="173" spans="11:24" x14ac:dyDescent="0.15">
      <c r="K173" s="341"/>
      <c r="L173" s="9"/>
      <c r="M173" s="8"/>
      <c r="N173" s="12"/>
      <c r="O173" s="273"/>
      <c r="P173" s="395"/>
      <c r="Q173" s="273"/>
      <c r="R173" s="395"/>
      <c r="S173" s="328"/>
      <c r="T173" s="12"/>
      <c r="U173" s="12"/>
      <c r="V173" s="12"/>
      <c r="W173" s="8"/>
      <c r="X173" s="12"/>
    </row>
    <row r="174" spans="11:24" x14ac:dyDescent="0.15">
      <c r="M174" s="8"/>
      <c r="N174" s="12"/>
      <c r="O174" s="273"/>
      <c r="P174" s="395"/>
      <c r="Q174" s="273"/>
      <c r="R174" s="395"/>
    </row>
    <row r="175" spans="11:24" x14ac:dyDescent="0.15">
      <c r="M175" s="8"/>
      <c r="N175" s="12"/>
      <c r="O175" s="273"/>
      <c r="P175" s="395"/>
      <c r="Q175" s="273"/>
      <c r="R175" s="395"/>
    </row>
    <row r="176" spans="11:24" x14ac:dyDescent="0.15">
      <c r="M176" s="8"/>
      <c r="N176" s="12"/>
      <c r="O176" s="273"/>
      <c r="P176" s="395"/>
      <c r="Q176" s="273"/>
      <c r="R176" s="395"/>
    </row>
    <row r="177" spans="13:18" x14ac:dyDescent="0.15">
      <c r="M177" s="8"/>
      <c r="N177" s="12"/>
      <c r="O177" s="273"/>
      <c r="P177" s="395"/>
      <c r="Q177" s="273"/>
      <c r="R177" s="395"/>
    </row>
    <row r="178" spans="13:18" x14ac:dyDescent="0.15">
      <c r="M178" s="8"/>
      <c r="N178" s="12"/>
      <c r="O178" s="273"/>
      <c r="P178" s="395"/>
      <c r="Q178" s="273"/>
      <c r="R178" s="395"/>
    </row>
    <row r="179" spans="13:18" x14ac:dyDescent="0.15">
      <c r="M179" s="8"/>
      <c r="N179" s="12"/>
      <c r="O179" s="273"/>
      <c r="P179" s="395"/>
      <c r="Q179" s="273"/>
      <c r="R179" s="395"/>
    </row>
    <row r="180" spans="13:18" x14ac:dyDescent="0.15">
      <c r="M180" s="8"/>
      <c r="N180" s="12"/>
      <c r="O180" s="273"/>
      <c r="P180" s="395"/>
      <c r="Q180" s="273"/>
      <c r="R180" s="395"/>
    </row>
    <row r="181" spans="13:18" x14ac:dyDescent="0.15">
      <c r="M181" s="8"/>
      <c r="N181" s="12"/>
      <c r="O181" s="273"/>
      <c r="P181" s="395"/>
      <c r="Q181" s="273"/>
      <c r="R181" s="395"/>
    </row>
    <row r="182" spans="13:18" x14ac:dyDescent="0.15">
      <c r="M182" s="8"/>
      <c r="N182" s="12"/>
      <c r="O182" s="273"/>
      <c r="P182" s="395"/>
      <c r="Q182" s="273"/>
      <c r="R182" s="395"/>
    </row>
    <row r="183" spans="13:18" x14ac:dyDescent="0.15">
      <c r="M183" s="8"/>
      <c r="N183" s="12"/>
      <c r="O183" s="273"/>
      <c r="P183" s="395"/>
      <c r="Q183" s="273"/>
      <c r="R183" s="395"/>
    </row>
    <row r="184" spans="13:18" x14ac:dyDescent="0.15">
      <c r="M184" s="8"/>
      <c r="N184" s="12"/>
      <c r="O184" s="273"/>
      <c r="P184" s="395"/>
      <c r="Q184" s="273"/>
      <c r="R184" s="395"/>
    </row>
    <row r="185" spans="13:18" x14ac:dyDescent="0.15">
      <c r="M185" s="8"/>
      <c r="N185" s="12"/>
      <c r="O185" s="273"/>
      <c r="P185" s="395"/>
      <c r="Q185" s="273"/>
      <c r="R185" s="395"/>
    </row>
    <row r="186" spans="13:18" x14ac:dyDescent="0.15">
      <c r="M186" s="8"/>
      <c r="N186" s="12"/>
      <c r="O186" s="273"/>
      <c r="P186" s="395"/>
      <c r="Q186" s="273"/>
      <c r="R186" s="395"/>
    </row>
    <row r="187" spans="13:18" x14ac:dyDescent="0.15">
      <c r="M187" s="8"/>
      <c r="N187" s="12"/>
      <c r="O187" s="273"/>
      <c r="P187" s="395"/>
      <c r="Q187" s="273"/>
      <c r="R187" s="395"/>
    </row>
    <row r="188" spans="13:18" x14ac:dyDescent="0.15">
      <c r="M188" s="8"/>
      <c r="N188" s="12"/>
      <c r="O188" s="273"/>
      <c r="P188" s="395"/>
      <c r="Q188" s="273"/>
      <c r="R188" s="395"/>
    </row>
    <row r="189" spans="13:18" x14ac:dyDescent="0.15">
      <c r="M189" s="8"/>
      <c r="N189" s="12"/>
      <c r="O189" s="273"/>
      <c r="P189" s="395"/>
      <c r="Q189" s="273"/>
      <c r="R189" s="395"/>
    </row>
    <row r="190" spans="13:18" x14ac:dyDescent="0.15">
      <c r="M190" s="8"/>
      <c r="N190" s="12"/>
      <c r="O190" s="273"/>
      <c r="P190" s="395"/>
      <c r="Q190" s="273"/>
      <c r="R190" s="395"/>
    </row>
    <row r="191" spans="13:18" x14ac:dyDescent="0.15">
      <c r="M191" s="8"/>
      <c r="N191" s="12"/>
      <c r="O191" s="273"/>
      <c r="P191" s="395"/>
      <c r="Q191" s="273"/>
      <c r="R191" s="395"/>
    </row>
    <row r="192" spans="13:18" x14ac:dyDescent="0.15">
      <c r="M192" s="8"/>
      <c r="N192" s="12"/>
      <c r="O192" s="273"/>
      <c r="P192" s="395"/>
      <c r="Q192" s="273"/>
      <c r="R192" s="395"/>
    </row>
    <row r="193" spans="13:18" x14ac:dyDescent="0.15">
      <c r="M193" s="8"/>
      <c r="N193" s="12"/>
      <c r="O193" s="273"/>
      <c r="P193" s="395"/>
      <c r="Q193" s="273"/>
      <c r="R193" s="395"/>
    </row>
    <row r="194" spans="13:18" x14ac:dyDescent="0.15">
      <c r="M194" s="8"/>
      <c r="N194" s="12"/>
      <c r="O194" s="273"/>
      <c r="P194" s="395"/>
      <c r="Q194" s="273"/>
      <c r="R194" s="395"/>
    </row>
    <row r="195" spans="13:18" x14ac:dyDescent="0.15">
      <c r="M195" s="8"/>
      <c r="N195" s="12"/>
      <c r="O195" s="273"/>
      <c r="P195" s="395"/>
      <c r="Q195" s="273"/>
      <c r="R195" s="395"/>
    </row>
    <row r="196" spans="13:18" x14ac:dyDescent="0.15">
      <c r="M196" s="8"/>
      <c r="N196" s="12"/>
      <c r="O196" s="273"/>
      <c r="P196" s="395"/>
      <c r="Q196" s="273"/>
      <c r="R196" s="395"/>
    </row>
    <row r="197" spans="13:18" x14ac:dyDescent="0.15">
      <c r="M197" s="8"/>
      <c r="N197" s="12"/>
      <c r="O197" s="273"/>
      <c r="P197" s="395"/>
      <c r="Q197" s="273"/>
      <c r="R197" s="395"/>
    </row>
    <row r="198" spans="13:18" x14ac:dyDescent="0.15">
      <c r="M198" s="8"/>
      <c r="N198" s="12"/>
      <c r="O198" s="273"/>
      <c r="P198" s="395"/>
      <c r="Q198" s="273"/>
      <c r="R198" s="395"/>
    </row>
    <row r="199" spans="13:18" x14ac:dyDescent="0.15">
      <c r="M199" s="8"/>
      <c r="N199" s="12"/>
      <c r="O199" s="273"/>
      <c r="P199" s="395"/>
      <c r="Q199" s="273"/>
      <c r="R199" s="395"/>
    </row>
    <row r="200" spans="13:18" x14ac:dyDescent="0.15">
      <c r="M200" s="8"/>
      <c r="N200" s="12"/>
      <c r="O200" s="273"/>
      <c r="P200" s="395"/>
      <c r="Q200" s="273"/>
      <c r="R200" s="395"/>
    </row>
    <row r="201" spans="13:18" x14ac:dyDescent="0.15">
      <c r="M201" s="8"/>
      <c r="N201" s="12"/>
      <c r="O201" s="273"/>
      <c r="P201" s="395"/>
      <c r="Q201" s="273"/>
      <c r="R201" s="395"/>
    </row>
    <row r="202" spans="13:18" x14ac:dyDescent="0.15">
      <c r="M202" s="8"/>
      <c r="N202" s="12"/>
      <c r="O202" s="273"/>
      <c r="P202" s="395"/>
      <c r="Q202" s="273"/>
      <c r="R202" s="395"/>
    </row>
    <row r="203" spans="13:18" x14ac:dyDescent="0.15">
      <c r="M203" s="8"/>
      <c r="N203" s="12"/>
      <c r="O203" s="273"/>
      <c r="P203" s="395"/>
      <c r="Q203" s="273"/>
      <c r="R203" s="395"/>
    </row>
    <row r="204" spans="13:18" x14ac:dyDescent="0.15">
      <c r="M204" s="8"/>
      <c r="N204" s="12"/>
      <c r="O204" s="273"/>
      <c r="P204" s="395"/>
      <c r="Q204" s="273"/>
      <c r="R204" s="395"/>
    </row>
    <row r="205" spans="13:18" x14ac:dyDescent="0.15">
      <c r="M205" s="8"/>
      <c r="N205" s="12"/>
      <c r="O205" s="273"/>
      <c r="P205" s="395"/>
      <c r="Q205" s="273"/>
      <c r="R205" s="395"/>
    </row>
    <row r="206" spans="13:18" x14ac:dyDescent="0.15">
      <c r="M206" s="8"/>
      <c r="N206" s="12"/>
      <c r="O206" s="273"/>
      <c r="P206" s="395"/>
      <c r="Q206" s="273"/>
      <c r="R206" s="395"/>
    </row>
    <row r="207" spans="13:18" x14ac:dyDescent="0.15">
      <c r="M207" s="8"/>
      <c r="N207" s="12"/>
      <c r="O207" s="273"/>
      <c r="P207" s="395"/>
      <c r="Q207" s="273"/>
      <c r="R207" s="395"/>
    </row>
  </sheetData>
  <mergeCells count="59">
    <mergeCell ref="B1:G1"/>
    <mergeCell ref="B5:AE5"/>
    <mergeCell ref="B6:AE6"/>
    <mergeCell ref="B7:AE7"/>
    <mergeCell ref="A9:A11"/>
    <mergeCell ref="B9:F11"/>
    <mergeCell ref="G9:G11"/>
    <mergeCell ref="H9:H11"/>
    <mergeCell ref="I9:J11"/>
    <mergeCell ref="K9:L11"/>
    <mergeCell ref="M9:N11"/>
    <mergeCell ref="O9:V10"/>
    <mergeCell ref="W9:X11"/>
    <mergeCell ref="Y9:Z11"/>
    <mergeCell ref="AA9:AB11"/>
    <mergeCell ref="AE9:AE11"/>
    <mergeCell ref="W12:X12"/>
    <mergeCell ref="AF9:AF11"/>
    <mergeCell ref="AG9:AG11"/>
    <mergeCell ref="O11:P11"/>
    <mergeCell ref="Q11:R11"/>
    <mergeCell ref="S11:T11"/>
    <mergeCell ref="U11:V11"/>
    <mergeCell ref="AC9:AD11"/>
    <mergeCell ref="M12:N12"/>
    <mergeCell ref="O12:P12"/>
    <mergeCell ref="Q12:R12"/>
    <mergeCell ref="S12:T12"/>
    <mergeCell ref="U12:V12"/>
    <mergeCell ref="A131:X131"/>
    <mergeCell ref="Y12:Z12"/>
    <mergeCell ref="AA12:AB12"/>
    <mergeCell ref="AC12:AD12"/>
    <mergeCell ref="AE12:AE13"/>
    <mergeCell ref="A12:A13"/>
    <mergeCell ref="B12:F13"/>
    <mergeCell ref="G12:G13"/>
    <mergeCell ref="H12:H13"/>
    <mergeCell ref="I12:J12"/>
    <mergeCell ref="K12:L12"/>
    <mergeCell ref="G56:G61"/>
    <mergeCell ref="A126:X126"/>
    <mergeCell ref="A127:X127"/>
    <mergeCell ref="A128:I128"/>
    <mergeCell ref="A130:X130"/>
    <mergeCell ref="Y146:AE146"/>
    <mergeCell ref="A132:AE132"/>
    <mergeCell ref="A133:AE133"/>
    <mergeCell ref="A134:AE134"/>
    <mergeCell ref="A135:AE135"/>
    <mergeCell ref="Y137:AD137"/>
    <mergeCell ref="Y138:AE138"/>
    <mergeCell ref="AH9:AH11"/>
    <mergeCell ref="AI9:AI11"/>
    <mergeCell ref="Y139:AE139"/>
    <mergeCell ref="Y140:AE140"/>
    <mergeCell ref="Y145:AE145"/>
    <mergeCell ref="AF12:AF13"/>
    <mergeCell ref="AG12:AG13"/>
  </mergeCells>
  <printOptions horizontalCentered="1"/>
  <pageMargins left="0" right="0" top="0.35433070866141736" bottom="7.874015748031496E-2" header="0.31496062992125984" footer="0.31496062992125984"/>
  <pageSetup paperSize="9" scale="4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7"/>
  <sheetViews>
    <sheetView workbookViewId="0">
      <selection activeCell="O1" sqref="O1"/>
    </sheetView>
  </sheetViews>
  <sheetFormatPr defaultRowHeight="15" x14ac:dyDescent="0.25"/>
  <cols>
    <col min="1" max="1" width="7.7109375" customWidth="1"/>
    <col min="3" max="3" width="8.85546875" customWidth="1"/>
    <col min="5" max="5" width="12.5703125" customWidth="1"/>
    <col min="6" max="6" width="11.28515625" customWidth="1"/>
    <col min="7" max="7" width="12.5703125" customWidth="1"/>
    <col min="8" max="8" width="11.42578125" customWidth="1"/>
    <col min="9" max="9" width="8.5703125" customWidth="1"/>
    <col min="10" max="10" width="11.85546875" customWidth="1"/>
    <col min="11" max="11" width="8.42578125" customWidth="1"/>
    <col min="12" max="12" width="11" customWidth="1"/>
    <col min="16" max="16" width="13.28515625" customWidth="1"/>
    <col min="17" max="17" width="8.28515625" customWidth="1"/>
    <col min="18" max="18" width="8" customWidth="1"/>
    <col min="21" max="21" width="10.85546875" customWidth="1"/>
    <col min="22" max="22" width="10.140625" customWidth="1"/>
  </cols>
  <sheetData>
    <row r="1" spans="1:22" ht="15.75" x14ac:dyDescent="0.25">
      <c r="A1" s="464" t="s">
        <v>302</v>
      </c>
      <c r="B1" s="464"/>
      <c r="C1" s="463"/>
      <c r="D1" s="463"/>
      <c r="E1" s="463"/>
      <c r="F1" s="463"/>
      <c r="G1" s="463"/>
      <c r="H1" s="463"/>
      <c r="I1" s="463"/>
      <c r="J1" s="463"/>
      <c r="K1" s="463"/>
      <c r="L1" s="463"/>
      <c r="M1" s="463"/>
      <c r="N1" s="463"/>
      <c r="O1" s="463"/>
      <c r="P1" s="463"/>
      <c r="Q1" s="463"/>
      <c r="R1" s="463"/>
      <c r="S1" s="463"/>
      <c r="T1" s="463"/>
      <c r="U1" s="463"/>
      <c r="V1" s="463"/>
    </row>
    <row r="2" spans="1:22" x14ac:dyDescent="0.25">
      <c r="A2" s="463"/>
      <c r="B2" s="463"/>
      <c r="C2" s="463"/>
      <c r="D2" s="463"/>
      <c r="E2" s="463"/>
      <c r="F2" s="463"/>
      <c r="G2" s="463"/>
      <c r="H2" s="463"/>
      <c r="I2" s="463"/>
      <c r="J2" s="463"/>
      <c r="K2" s="463"/>
      <c r="L2" s="463"/>
      <c r="M2" s="463"/>
      <c r="N2" s="463"/>
      <c r="O2" s="463"/>
      <c r="P2" s="463"/>
      <c r="Q2" s="463"/>
      <c r="R2" s="463"/>
      <c r="S2" s="463"/>
      <c r="T2" s="463"/>
      <c r="U2" s="463"/>
      <c r="V2" s="463"/>
    </row>
    <row r="3" spans="1:22" x14ac:dyDescent="0.25">
      <c r="A3" s="578" t="s">
        <v>303</v>
      </c>
      <c r="B3" s="578"/>
      <c r="C3" s="578"/>
      <c r="D3" s="578"/>
      <c r="E3" s="578"/>
      <c r="F3" s="578"/>
      <c r="G3" s="578"/>
      <c r="H3" s="578"/>
      <c r="I3" s="578"/>
      <c r="J3" s="578"/>
      <c r="K3" s="578"/>
      <c r="L3" s="578"/>
      <c r="M3" s="578"/>
      <c r="N3" s="578"/>
      <c r="O3" s="578"/>
      <c r="P3" s="578"/>
      <c r="Q3" s="578"/>
      <c r="R3" s="578"/>
      <c r="S3" s="578"/>
      <c r="T3" s="578"/>
      <c r="U3" s="578"/>
      <c r="V3" s="578"/>
    </row>
    <row r="4" spans="1:22" x14ac:dyDescent="0.25">
      <c r="A4" s="578" t="s">
        <v>304</v>
      </c>
      <c r="B4" s="578"/>
      <c r="C4" s="578"/>
      <c r="D4" s="578"/>
      <c r="E4" s="578"/>
      <c r="F4" s="578"/>
      <c r="G4" s="578"/>
      <c r="H4" s="578"/>
      <c r="I4" s="578"/>
      <c r="J4" s="578"/>
      <c r="K4" s="578"/>
      <c r="L4" s="578"/>
      <c r="M4" s="578"/>
      <c r="N4" s="578"/>
      <c r="O4" s="578"/>
      <c r="P4" s="578"/>
      <c r="Q4" s="578"/>
      <c r="R4" s="578"/>
      <c r="S4" s="578"/>
      <c r="T4" s="578"/>
      <c r="U4" s="578"/>
      <c r="V4" s="578"/>
    </row>
    <row r="5" spans="1:22" x14ac:dyDescent="0.25">
      <c r="A5" s="578" t="s">
        <v>378</v>
      </c>
      <c r="B5" s="578"/>
      <c r="C5" s="578"/>
      <c r="D5" s="578"/>
      <c r="E5" s="578"/>
      <c r="F5" s="578"/>
      <c r="G5" s="578"/>
      <c r="H5" s="578"/>
      <c r="I5" s="578"/>
      <c r="J5" s="578"/>
      <c r="K5" s="578"/>
      <c r="L5" s="578"/>
      <c r="M5" s="578"/>
      <c r="N5" s="578"/>
      <c r="O5" s="578"/>
      <c r="P5" s="578"/>
      <c r="Q5" s="578"/>
      <c r="R5" s="578"/>
      <c r="S5" s="578"/>
      <c r="T5" s="578"/>
      <c r="U5" s="578"/>
      <c r="V5" s="578"/>
    </row>
    <row r="6" spans="1:22" x14ac:dyDescent="0.25">
      <c r="A6" s="463"/>
      <c r="B6" s="463"/>
      <c r="C6" s="463"/>
      <c r="D6" s="463"/>
      <c r="E6" s="463"/>
      <c r="F6" s="463"/>
      <c r="G6" s="463"/>
      <c r="H6" s="463"/>
      <c r="I6" s="463"/>
      <c r="J6" s="463"/>
      <c r="K6" s="463"/>
      <c r="L6" s="463"/>
      <c r="M6" s="463"/>
      <c r="N6" s="463"/>
      <c r="O6" s="463"/>
      <c r="P6" s="463"/>
      <c r="Q6" s="463"/>
      <c r="R6" s="463"/>
      <c r="S6" s="463"/>
      <c r="T6" s="463"/>
      <c r="U6" s="463"/>
      <c r="V6" s="463"/>
    </row>
    <row r="7" spans="1:22" x14ac:dyDescent="0.25">
      <c r="A7" s="463" t="s">
        <v>305</v>
      </c>
      <c r="B7" s="463"/>
      <c r="C7" s="463" t="s">
        <v>306</v>
      </c>
      <c r="D7" s="463"/>
      <c r="E7" s="463"/>
      <c r="F7" s="463"/>
      <c r="G7" s="463"/>
      <c r="H7" s="463"/>
      <c r="I7" s="463"/>
      <c r="J7" s="463"/>
      <c r="K7" s="463"/>
      <c r="L7" s="463"/>
      <c r="M7" s="463"/>
      <c r="N7" s="463"/>
      <c r="O7" s="463"/>
      <c r="P7" s="463"/>
      <c r="Q7" s="463"/>
      <c r="R7" s="463"/>
      <c r="S7" s="463"/>
      <c r="T7" s="463"/>
      <c r="U7" s="463"/>
      <c r="V7" s="463"/>
    </row>
    <row r="8" spans="1:22" x14ac:dyDescent="0.25">
      <c r="A8" s="463" t="s">
        <v>307</v>
      </c>
      <c r="B8" s="463"/>
      <c r="C8" s="463" t="s">
        <v>308</v>
      </c>
      <c r="D8" s="463"/>
      <c r="E8" s="463"/>
      <c r="F8" s="463"/>
      <c r="G8" s="463"/>
      <c r="H8" s="463"/>
      <c r="I8" s="463"/>
      <c r="J8" s="463"/>
      <c r="K8" s="463"/>
      <c r="L8" s="463"/>
      <c r="M8" s="463"/>
      <c r="N8" s="463"/>
      <c r="O8" s="463"/>
      <c r="P8" s="463"/>
      <c r="Q8" s="463"/>
      <c r="R8" s="463"/>
      <c r="S8" s="463"/>
      <c r="T8" s="463"/>
      <c r="U8" s="463"/>
      <c r="V8" s="463"/>
    </row>
    <row r="9" spans="1:22" x14ac:dyDescent="0.25">
      <c r="A9" s="463" t="s">
        <v>309</v>
      </c>
      <c r="B9" s="463"/>
      <c r="C9" s="463" t="s">
        <v>310</v>
      </c>
      <c r="D9" s="463"/>
      <c r="E9" s="463"/>
      <c r="F9" s="463"/>
      <c r="G9" s="463"/>
      <c r="H9" s="463"/>
      <c r="I9" s="463"/>
      <c r="J9" s="463"/>
      <c r="K9" s="463"/>
      <c r="L9" s="463"/>
      <c r="M9" s="463"/>
      <c r="N9" s="463"/>
      <c r="O9" s="463"/>
      <c r="P9" s="463"/>
      <c r="Q9" s="463"/>
      <c r="R9" s="463"/>
      <c r="S9" s="463"/>
      <c r="T9" s="463"/>
      <c r="U9" s="463"/>
      <c r="V9" s="463"/>
    </row>
    <row r="10" spans="1:22" x14ac:dyDescent="0.25">
      <c r="A10" s="463" t="s">
        <v>311</v>
      </c>
      <c r="B10" s="463"/>
      <c r="C10" s="463" t="s">
        <v>312</v>
      </c>
      <c r="D10" s="463"/>
      <c r="E10" s="463"/>
      <c r="F10" s="463"/>
      <c r="G10" s="463"/>
      <c r="H10" s="463"/>
      <c r="I10" s="463"/>
      <c r="J10" s="463"/>
      <c r="K10" s="463"/>
      <c r="L10" s="463"/>
      <c r="M10" s="463"/>
      <c r="N10" s="463"/>
      <c r="O10" s="463"/>
      <c r="P10" s="463"/>
      <c r="Q10" s="463"/>
      <c r="R10" s="463"/>
      <c r="S10" s="463"/>
      <c r="T10" s="463"/>
      <c r="U10" s="463"/>
      <c r="V10" s="463"/>
    </row>
    <row r="11" spans="1:22" x14ac:dyDescent="0.25">
      <c r="A11" s="463"/>
      <c r="B11" s="463"/>
      <c r="C11" s="463"/>
      <c r="D11" s="463"/>
      <c r="E11" s="463"/>
      <c r="F11" s="463"/>
      <c r="G11" s="463"/>
      <c r="H11" s="463"/>
      <c r="I11" s="463"/>
      <c r="J11" s="463"/>
      <c r="K11" s="463"/>
      <c r="L11" s="463"/>
      <c r="M11" s="463"/>
      <c r="N11" s="463"/>
      <c r="O11" s="463"/>
      <c r="P11" s="463"/>
      <c r="Q11" s="463"/>
      <c r="R11" s="463"/>
      <c r="S11" s="463"/>
      <c r="T11" s="463"/>
      <c r="U11" s="463"/>
      <c r="V11" s="463"/>
    </row>
    <row r="12" spans="1:22" x14ac:dyDescent="0.25">
      <c r="A12" s="579" t="s">
        <v>141</v>
      </c>
      <c r="B12" s="580" t="s">
        <v>313</v>
      </c>
      <c r="C12" s="583" t="s">
        <v>314</v>
      </c>
      <c r="D12" s="584"/>
      <c r="E12" s="584"/>
      <c r="F12" s="584"/>
      <c r="G12" s="584"/>
      <c r="H12" s="585"/>
      <c r="I12" s="586" t="s">
        <v>315</v>
      </c>
      <c r="J12" s="586"/>
      <c r="K12" s="586"/>
      <c r="L12" s="587" t="s">
        <v>316</v>
      </c>
      <c r="M12" s="588"/>
      <c r="N12" s="589"/>
      <c r="O12" s="586" t="s">
        <v>317</v>
      </c>
      <c r="P12" s="586"/>
      <c r="Q12" s="586" t="s">
        <v>318</v>
      </c>
      <c r="R12" s="586"/>
      <c r="S12" s="586" t="s">
        <v>319</v>
      </c>
      <c r="T12" s="586"/>
      <c r="U12" s="586" t="s">
        <v>320</v>
      </c>
      <c r="V12" s="586" t="s">
        <v>169</v>
      </c>
    </row>
    <row r="13" spans="1:22" x14ac:dyDescent="0.25">
      <c r="A13" s="579"/>
      <c r="B13" s="581"/>
      <c r="C13" s="579" t="s">
        <v>321</v>
      </c>
      <c r="D13" s="579" t="s">
        <v>322</v>
      </c>
      <c r="E13" s="580" t="s">
        <v>323</v>
      </c>
      <c r="F13" s="579" t="s">
        <v>324</v>
      </c>
      <c r="G13" s="579"/>
      <c r="H13" s="579"/>
      <c r="I13" s="580" t="s">
        <v>325</v>
      </c>
      <c r="J13" s="580" t="s">
        <v>326</v>
      </c>
      <c r="K13" s="580" t="s">
        <v>327</v>
      </c>
      <c r="L13" s="580" t="s">
        <v>328</v>
      </c>
      <c r="M13" s="580" t="s">
        <v>329</v>
      </c>
      <c r="N13" s="580" t="s">
        <v>330</v>
      </c>
      <c r="O13" s="579" t="s">
        <v>331</v>
      </c>
      <c r="P13" s="580" t="s">
        <v>332</v>
      </c>
      <c r="Q13" s="579" t="s">
        <v>333</v>
      </c>
      <c r="R13" s="579" t="s">
        <v>334</v>
      </c>
      <c r="S13" s="579" t="s">
        <v>333</v>
      </c>
      <c r="T13" s="579" t="s">
        <v>334</v>
      </c>
      <c r="U13" s="586"/>
      <c r="V13" s="586"/>
    </row>
    <row r="14" spans="1:22" x14ac:dyDescent="0.25">
      <c r="A14" s="579"/>
      <c r="B14" s="582"/>
      <c r="C14" s="579"/>
      <c r="D14" s="579"/>
      <c r="E14" s="582"/>
      <c r="F14" s="465" t="s">
        <v>325</v>
      </c>
      <c r="G14" s="465" t="s">
        <v>326</v>
      </c>
      <c r="H14" s="465" t="s">
        <v>335</v>
      </c>
      <c r="I14" s="582"/>
      <c r="J14" s="582"/>
      <c r="K14" s="582"/>
      <c r="L14" s="582"/>
      <c r="M14" s="582"/>
      <c r="N14" s="582"/>
      <c r="O14" s="579"/>
      <c r="P14" s="582"/>
      <c r="Q14" s="579"/>
      <c r="R14" s="579"/>
      <c r="S14" s="579"/>
      <c r="T14" s="579"/>
      <c r="U14" s="586"/>
      <c r="V14" s="586"/>
    </row>
    <row r="15" spans="1:22" x14ac:dyDescent="0.25">
      <c r="A15" s="466">
        <v>1</v>
      </c>
      <c r="B15" s="466">
        <v>2</v>
      </c>
      <c r="C15" s="466">
        <v>3</v>
      </c>
      <c r="D15" s="466">
        <v>4</v>
      </c>
      <c r="E15" s="466">
        <v>5</v>
      </c>
      <c r="F15" s="466">
        <v>6</v>
      </c>
      <c r="G15" s="466">
        <v>7</v>
      </c>
      <c r="H15" s="466">
        <v>8</v>
      </c>
      <c r="I15" s="466">
        <v>9</v>
      </c>
      <c r="J15" s="466">
        <v>10</v>
      </c>
      <c r="K15" s="466">
        <v>11</v>
      </c>
      <c r="L15" s="466">
        <v>12</v>
      </c>
      <c r="M15" s="466">
        <v>13</v>
      </c>
      <c r="N15" s="466">
        <v>14</v>
      </c>
      <c r="O15" s="466">
        <v>15</v>
      </c>
      <c r="P15" s="466" t="s">
        <v>336</v>
      </c>
      <c r="Q15" s="466">
        <v>17</v>
      </c>
      <c r="R15" s="466">
        <v>18</v>
      </c>
      <c r="S15" s="466">
        <v>19</v>
      </c>
      <c r="T15" s="466">
        <v>20</v>
      </c>
      <c r="U15" s="466">
        <v>21</v>
      </c>
      <c r="V15" s="466">
        <v>22</v>
      </c>
    </row>
    <row r="16" spans="1:22" ht="41.25" customHeight="1" x14ac:dyDescent="0.25">
      <c r="A16" s="467"/>
      <c r="B16" s="468" t="s">
        <v>337</v>
      </c>
      <c r="C16" s="468" t="s">
        <v>337</v>
      </c>
      <c r="D16" s="468" t="s">
        <v>337</v>
      </c>
      <c r="E16" s="468" t="s">
        <v>337</v>
      </c>
      <c r="F16" s="468" t="s">
        <v>337</v>
      </c>
      <c r="G16" s="468" t="s">
        <v>337</v>
      </c>
      <c r="H16" s="468" t="s">
        <v>337</v>
      </c>
      <c r="I16" s="468" t="s">
        <v>337</v>
      </c>
      <c r="J16" s="468" t="s">
        <v>337</v>
      </c>
      <c r="K16" s="468" t="s">
        <v>337</v>
      </c>
      <c r="L16" s="468" t="s">
        <v>337</v>
      </c>
      <c r="M16" s="468" t="s">
        <v>337</v>
      </c>
      <c r="N16" s="468" t="s">
        <v>337</v>
      </c>
      <c r="O16" s="468" t="s">
        <v>337</v>
      </c>
      <c r="P16" s="468" t="s">
        <v>337</v>
      </c>
      <c r="Q16" s="468" t="s">
        <v>337</v>
      </c>
      <c r="R16" s="468" t="s">
        <v>337</v>
      </c>
      <c r="S16" s="468" t="s">
        <v>337</v>
      </c>
      <c r="T16" s="468" t="s">
        <v>337</v>
      </c>
      <c r="U16" s="468" t="s">
        <v>337</v>
      </c>
      <c r="V16" s="468" t="s">
        <v>337</v>
      </c>
    </row>
    <row r="19" spans="15:21" x14ac:dyDescent="0.25">
      <c r="O19" s="537"/>
      <c r="P19" s="537"/>
      <c r="Q19" s="537"/>
      <c r="R19" s="537"/>
      <c r="S19" s="537"/>
      <c r="T19" s="537"/>
      <c r="U19" s="537"/>
    </row>
    <row r="20" spans="15:21" x14ac:dyDescent="0.25">
      <c r="O20" s="545" t="s">
        <v>377</v>
      </c>
      <c r="P20" s="545"/>
      <c r="Q20" s="545"/>
      <c r="R20" s="545"/>
      <c r="S20" s="545"/>
      <c r="T20" s="545"/>
      <c r="U20" s="545"/>
    </row>
    <row r="21" spans="15:21" x14ac:dyDescent="0.25">
      <c r="O21" s="537" t="s">
        <v>291</v>
      </c>
      <c r="P21" s="537"/>
      <c r="Q21" s="537"/>
      <c r="R21" s="537"/>
      <c r="S21" s="537"/>
      <c r="T21" s="537"/>
      <c r="U21" s="537"/>
    </row>
    <row r="22" spans="15:21" x14ac:dyDescent="0.25">
      <c r="O22" s="537" t="s">
        <v>338</v>
      </c>
      <c r="P22" s="537"/>
      <c r="Q22" s="537"/>
      <c r="R22" s="537"/>
      <c r="S22" s="537"/>
      <c r="T22" s="537"/>
      <c r="U22" s="537"/>
    </row>
    <row r="23" spans="15:21" x14ac:dyDescent="0.25">
      <c r="O23" s="538"/>
      <c r="P23" s="538"/>
      <c r="Q23" s="538"/>
      <c r="R23" s="538"/>
      <c r="S23" s="538"/>
      <c r="T23" s="538"/>
      <c r="U23" s="538"/>
    </row>
    <row r="24" spans="15:21" x14ac:dyDescent="0.25">
      <c r="O24" s="459"/>
      <c r="P24" s="459"/>
      <c r="Q24" s="459"/>
      <c r="R24" s="327"/>
      <c r="S24" s="459"/>
      <c r="T24" s="459"/>
      <c r="U24" s="459"/>
    </row>
    <row r="25" spans="15:21" x14ac:dyDescent="0.25">
      <c r="O25" s="459"/>
      <c r="P25" s="459"/>
      <c r="Q25" s="459"/>
      <c r="R25" s="327"/>
      <c r="S25" s="459"/>
      <c r="T25" s="459"/>
      <c r="U25" s="459"/>
    </row>
    <row r="26" spans="15:21" ht="15.75" x14ac:dyDescent="0.3">
      <c r="O26" s="539" t="s">
        <v>239</v>
      </c>
      <c r="P26" s="539"/>
      <c r="Q26" s="539"/>
      <c r="R26" s="539"/>
      <c r="S26" s="539"/>
      <c r="T26" s="539"/>
      <c r="U26" s="539"/>
    </row>
    <row r="27" spans="15:21" ht="15.75" x14ac:dyDescent="0.3">
      <c r="O27" s="542" t="s">
        <v>240</v>
      </c>
      <c r="P27" s="542"/>
      <c r="Q27" s="542"/>
      <c r="R27" s="542"/>
      <c r="S27" s="542"/>
      <c r="T27" s="542"/>
      <c r="U27" s="542"/>
    </row>
  </sheetData>
  <mergeCells count="36">
    <mergeCell ref="O23:U23"/>
    <mergeCell ref="O26:U26"/>
    <mergeCell ref="O27:U27"/>
    <mergeCell ref="R13:R14"/>
    <mergeCell ref="S13:S14"/>
    <mergeCell ref="T13:T14"/>
    <mergeCell ref="O19:U19"/>
    <mergeCell ref="O20:U20"/>
    <mergeCell ref="O21:U21"/>
    <mergeCell ref="Q13:Q14"/>
    <mergeCell ref="M13:M14"/>
    <mergeCell ref="N13:N14"/>
    <mergeCell ref="O13:O14"/>
    <mergeCell ref="P13:P14"/>
    <mergeCell ref="O22:U22"/>
    <mergeCell ref="F13:H13"/>
    <mergeCell ref="I13:I14"/>
    <mergeCell ref="J13:J14"/>
    <mergeCell ref="K13:K14"/>
    <mergeCell ref="L13:L14"/>
    <mergeCell ref="A3:V3"/>
    <mergeCell ref="A4:V4"/>
    <mergeCell ref="A5:V5"/>
    <mergeCell ref="A12:A14"/>
    <mergeCell ref="B12:B14"/>
    <mergeCell ref="C12:H12"/>
    <mergeCell ref="I12:K12"/>
    <mergeCell ref="L12:N12"/>
    <mergeCell ref="O12:P12"/>
    <mergeCell ref="Q12:R12"/>
    <mergeCell ref="S12:T12"/>
    <mergeCell ref="U12:U14"/>
    <mergeCell ref="V12:V14"/>
    <mergeCell ref="C13:C14"/>
    <mergeCell ref="D13:D14"/>
    <mergeCell ref="E13:E14"/>
  </mergeCells>
  <pageMargins left="0.70866141732283472" right="0.70866141732283472" top="0.74803149606299213" bottom="0.74803149606299213" header="0.31496062992125984" footer="0.31496062992125984"/>
  <pageSetup paperSize="257" scale="6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8"/>
  <sheetViews>
    <sheetView topLeftCell="L8" workbookViewId="0">
      <selection activeCell="R23" sqref="R23:X23"/>
    </sheetView>
  </sheetViews>
  <sheetFormatPr defaultRowHeight="15" x14ac:dyDescent="0.25"/>
  <cols>
    <col min="21" max="21" width="12" customWidth="1"/>
    <col min="22" max="22" width="13.140625" customWidth="1"/>
    <col min="23" max="23" width="11.28515625" customWidth="1"/>
  </cols>
  <sheetData>
    <row r="1" spans="1:23" ht="15.75" x14ac:dyDescent="0.25">
      <c r="A1" s="464" t="s">
        <v>339</v>
      </c>
      <c r="B1" s="464"/>
      <c r="C1" s="463"/>
      <c r="D1" s="463"/>
      <c r="E1" s="463"/>
      <c r="F1" s="463"/>
      <c r="G1" s="463"/>
      <c r="H1" s="463"/>
      <c r="I1" s="463"/>
      <c r="J1" s="463"/>
      <c r="K1" s="463"/>
      <c r="L1" s="463"/>
      <c r="M1" s="463"/>
      <c r="N1" s="463"/>
      <c r="O1" s="463"/>
      <c r="P1" s="463"/>
      <c r="Q1" s="463"/>
      <c r="R1" s="463"/>
      <c r="S1" s="463"/>
      <c r="T1" s="463"/>
      <c r="U1" s="463"/>
      <c r="V1" s="463"/>
      <c r="W1" s="463"/>
    </row>
    <row r="2" spans="1:23" x14ac:dyDescent="0.25">
      <c r="A2" s="463"/>
      <c r="B2" s="463"/>
      <c r="C2" s="463"/>
      <c r="D2" s="463"/>
      <c r="E2" s="463"/>
      <c r="F2" s="463"/>
      <c r="G2" s="463"/>
      <c r="H2" s="463"/>
      <c r="I2" s="463"/>
      <c r="J2" s="463"/>
      <c r="K2" s="463"/>
      <c r="L2" s="463"/>
      <c r="M2" s="463"/>
      <c r="N2" s="463"/>
      <c r="O2" s="463"/>
      <c r="P2" s="463"/>
      <c r="Q2" s="463"/>
      <c r="R2" s="463"/>
      <c r="S2" s="463"/>
      <c r="T2" s="463"/>
      <c r="U2" s="463"/>
      <c r="V2" s="463"/>
      <c r="W2" s="463"/>
    </row>
    <row r="3" spans="1:23" x14ac:dyDescent="0.25">
      <c r="A3" s="578" t="s">
        <v>340</v>
      </c>
      <c r="B3" s="578"/>
      <c r="C3" s="578"/>
      <c r="D3" s="578"/>
      <c r="E3" s="578"/>
      <c r="F3" s="578"/>
      <c r="G3" s="578"/>
      <c r="H3" s="578"/>
      <c r="I3" s="578"/>
      <c r="J3" s="578"/>
      <c r="K3" s="578"/>
      <c r="L3" s="578"/>
      <c r="M3" s="578"/>
      <c r="N3" s="578"/>
      <c r="O3" s="578"/>
      <c r="P3" s="578"/>
      <c r="Q3" s="578"/>
      <c r="R3" s="578"/>
      <c r="S3" s="578"/>
      <c r="T3" s="578"/>
      <c r="U3" s="578"/>
      <c r="V3" s="578"/>
      <c r="W3" s="578"/>
    </row>
    <row r="4" spans="1:23" x14ac:dyDescent="0.25">
      <c r="A4" s="578" t="s">
        <v>301</v>
      </c>
      <c r="B4" s="578"/>
      <c r="C4" s="578"/>
      <c r="D4" s="578"/>
      <c r="E4" s="578"/>
      <c r="F4" s="578"/>
      <c r="G4" s="578"/>
      <c r="H4" s="578"/>
      <c r="I4" s="578"/>
      <c r="J4" s="578"/>
      <c r="K4" s="578"/>
      <c r="L4" s="578"/>
      <c r="M4" s="578"/>
      <c r="N4" s="578"/>
      <c r="O4" s="578"/>
      <c r="P4" s="578"/>
      <c r="Q4" s="578"/>
      <c r="R4" s="578"/>
      <c r="S4" s="578"/>
      <c r="T4" s="578"/>
      <c r="U4" s="578"/>
      <c r="V4" s="578"/>
      <c r="W4" s="578"/>
    </row>
    <row r="5" spans="1:23" x14ac:dyDescent="0.25">
      <c r="A5" s="578" t="s">
        <v>341</v>
      </c>
      <c r="B5" s="578"/>
      <c r="C5" s="578"/>
      <c r="D5" s="578"/>
      <c r="E5" s="578"/>
      <c r="F5" s="578"/>
      <c r="G5" s="578"/>
      <c r="H5" s="578"/>
      <c r="I5" s="578"/>
      <c r="J5" s="578"/>
      <c r="K5" s="578"/>
      <c r="L5" s="578"/>
      <c r="M5" s="578"/>
      <c r="N5" s="578"/>
      <c r="O5" s="578"/>
      <c r="P5" s="578"/>
      <c r="Q5" s="578"/>
      <c r="R5" s="578"/>
      <c r="S5" s="578"/>
      <c r="T5" s="578"/>
      <c r="U5" s="578"/>
      <c r="V5" s="578"/>
      <c r="W5" s="578"/>
    </row>
    <row r="6" spans="1:23" x14ac:dyDescent="0.25">
      <c r="A6" s="463"/>
      <c r="B6" s="463"/>
      <c r="C6" s="463"/>
      <c r="D6" s="463"/>
      <c r="E6" s="463"/>
      <c r="F6" s="463"/>
      <c r="G6" s="463"/>
      <c r="H6" s="463"/>
      <c r="I6" s="463"/>
      <c r="J6" s="463"/>
      <c r="K6" s="463"/>
      <c r="L6" s="463"/>
      <c r="M6" s="463"/>
      <c r="N6" s="463"/>
      <c r="O6" s="463"/>
      <c r="P6" s="463"/>
      <c r="Q6" s="463"/>
      <c r="R6" s="463"/>
      <c r="S6" s="463"/>
      <c r="T6" s="463"/>
      <c r="U6" s="463"/>
      <c r="V6" s="463"/>
      <c r="W6" s="463"/>
    </row>
    <row r="7" spans="1:23" x14ac:dyDescent="0.25">
      <c r="A7" s="579" t="s">
        <v>141</v>
      </c>
      <c r="B7" s="580" t="s">
        <v>140</v>
      </c>
      <c r="C7" s="580" t="s">
        <v>164</v>
      </c>
      <c r="D7" s="580" t="s">
        <v>342</v>
      </c>
      <c r="E7" s="597" t="s">
        <v>343</v>
      </c>
      <c r="F7" s="598"/>
      <c r="G7" s="597" t="s">
        <v>344</v>
      </c>
      <c r="H7" s="598"/>
      <c r="I7" s="590" t="s">
        <v>165</v>
      </c>
      <c r="J7" s="603"/>
      <c r="K7" s="603"/>
      <c r="L7" s="603"/>
      <c r="M7" s="603"/>
      <c r="N7" s="603"/>
      <c r="O7" s="603"/>
      <c r="P7" s="591"/>
      <c r="Q7" s="597" t="s">
        <v>345</v>
      </c>
      <c r="R7" s="598"/>
      <c r="S7" s="597" t="s">
        <v>346</v>
      </c>
      <c r="T7" s="598"/>
      <c r="U7" s="586" t="s">
        <v>168</v>
      </c>
      <c r="V7" s="586" t="s">
        <v>101</v>
      </c>
      <c r="W7" s="586" t="s">
        <v>347</v>
      </c>
    </row>
    <row r="8" spans="1:23" x14ac:dyDescent="0.25">
      <c r="A8" s="579"/>
      <c r="B8" s="581"/>
      <c r="C8" s="581"/>
      <c r="D8" s="581"/>
      <c r="E8" s="599"/>
      <c r="F8" s="600"/>
      <c r="G8" s="599"/>
      <c r="H8" s="600"/>
      <c r="I8" s="579" t="s">
        <v>0</v>
      </c>
      <c r="J8" s="579"/>
      <c r="K8" s="590" t="s">
        <v>2</v>
      </c>
      <c r="L8" s="591"/>
      <c r="M8" s="590" t="s">
        <v>166</v>
      </c>
      <c r="N8" s="591"/>
      <c r="O8" s="590" t="s">
        <v>167</v>
      </c>
      <c r="P8" s="591"/>
      <c r="Q8" s="599"/>
      <c r="R8" s="600"/>
      <c r="S8" s="599"/>
      <c r="T8" s="600"/>
      <c r="U8" s="586"/>
      <c r="V8" s="586"/>
      <c r="W8" s="586"/>
    </row>
    <row r="9" spans="1:23" x14ac:dyDescent="0.25">
      <c r="A9" s="579"/>
      <c r="B9" s="582"/>
      <c r="C9" s="582"/>
      <c r="D9" s="582"/>
      <c r="E9" s="601"/>
      <c r="F9" s="602"/>
      <c r="G9" s="601"/>
      <c r="H9" s="602"/>
      <c r="I9" s="579"/>
      <c r="J9" s="579"/>
      <c r="K9" s="592"/>
      <c r="L9" s="593"/>
      <c r="M9" s="592"/>
      <c r="N9" s="593"/>
      <c r="O9" s="592"/>
      <c r="P9" s="593"/>
      <c r="Q9" s="601"/>
      <c r="R9" s="602"/>
      <c r="S9" s="601"/>
      <c r="T9" s="602"/>
      <c r="U9" s="586"/>
      <c r="V9" s="586"/>
      <c r="W9" s="586"/>
    </row>
    <row r="10" spans="1:23" x14ac:dyDescent="0.25">
      <c r="A10" s="594">
        <v>1</v>
      </c>
      <c r="B10" s="594">
        <v>2</v>
      </c>
      <c r="C10" s="594">
        <v>3</v>
      </c>
      <c r="D10" s="594">
        <v>4</v>
      </c>
      <c r="E10" s="583">
        <v>5</v>
      </c>
      <c r="F10" s="585"/>
      <c r="G10" s="583">
        <v>6</v>
      </c>
      <c r="H10" s="585"/>
      <c r="I10" s="583">
        <v>7</v>
      </c>
      <c r="J10" s="585"/>
      <c r="K10" s="583">
        <v>8</v>
      </c>
      <c r="L10" s="585"/>
      <c r="M10" s="583">
        <v>9</v>
      </c>
      <c r="N10" s="585"/>
      <c r="O10" s="583">
        <v>10</v>
      </c>
      <c r="P10" s="585"/>
      <c r="Q10" s="583" t="s">
        <v>348</v>
      </c>
      <c r="R10" s="585"/>
      <c r="S10" s="583" t="s">
        <v>349</v>
      </c>
      <c r="T10" s="585"/>
      <c r="U10" s="594">
        <v>13</v>
      </c>
      <c r="V10" s="594">
        <v>14</v>
      </c>
      <c r="W10" s="594">
        <v>15</v>
      </c>
    </row>
    <row r="11" spans="1:23" x14ac:dyDescent="0.25">
      <c r="A11" s="595"/>
      <c r="B11" s="595"/>
      <c r="C11" s="595"/>
      <c r="D11" s="595"/>
      <c r="E11" s="469" t="s">
        <v>1</v>
      </c>
      <c r="F11" s="469" t="s">
        <v>103</v>
      </c>
      <c r="G11" s="469" t="s">
        <v>1</v>
      </c>
      <c r="H11" s="469" t="s">
        <v>103</v>
      </c>
      <c r="I11" s="469" t="s">
        <v>1</v>
      </c>
      <c r="J11" s="469" t="s">
        <v>103</v>
      </c>
      <c r="K11" s="469" t="s">
        <v>1</v>
      </c>
      <c r="L11" s="469" t="s">
        <v>103</v>
      </c>
      <c r="M11" s="469" t="s">
        <v>1</v>
      </c>
      <c r="N11" s="469" t="s">
        <v>103</v>
      </c>
      <c r="O11" s="469" t="s">
        <v>1</v>
      </c>
      <c r="P11" s="469" t="s">
        <v>103</v>
      </c>
      <c r="Q11" s="469" t="s">
        <v>1</v>
      </c>
      <c r="R11" s="469" t="s">
        <v>103</v>
      </c>
      <c r="S11" s="469" t="s">
        <v>1</v>
      </c>
      <c r="T11" s="469" t="s">
        <v>103</v>
      </c>
      <c r="U11" s="595"/>
      <c r="V11" s="595"/>
      <c r="W11" s="595"/>
    </row>
    <row r="12" spans="1:23" x14ac:dyDescent="0.25">
      <c r="A12" s="594"/>
      <c r="B12" s="594" t="s">
        <v>337</v>
      </c>
      <c r="C12" s="594" t="s">
        <v>337</v>
      </c>
      <c r="D12" s="594" t="s">
        <v>337</v>
      </c>
      <c r="E12" s="594" t="s">
        <v>337</v>
      </c>
      <c r="F12" s="594" t="s">
        <v>337</v>
      </c>
      <c r="G12" s="594" t="s">
        <v>337</v>
      </c>
      <c r="H12" s="594" t="s">
        <v>337</v>
      </c>
      <c r="I12" s="594" t="s">
        <v>337</v>
      </c>
      <c r="J12" s="594" t="s">
        <v>337</v>
      </c>
      <c r="K12" s="594" t="s">
        <v>337</v>
      </c>
      <c r="L12" s="594" t="s">
        <v>337</v>
      </c>
      <c r="M12" s="594" t="s">
        <v>337</v>
      </c>
      <c r="N12" s="594" t="s">
        <v>337</v>
      </c>
      <c r="O12" s="594" t="s">
        <v>337</v>
      </c>
      <c r="P12" s="594" t="s">
        <v>337</v>
      </c>
      <c r="Q12" s="594" t="s">
        <v>337</v>
      </c>
      <c r="R12" s="594" t="s">
        <v>337</v>
      </c>
      <c r="S12" s="594" t="s">
        <v>337</v>
      </c>
      <c r="T12" s="594" t="s">
        <v>337</v>
      </c>
      <c r="U12" s="594" t="s">
        <v>337</v>
      </c>
      <c r="V12" s="594" t="s">
        <v>337</v>
      </c>
      <c r="W12" s="594" t="s">
        <v>337</v>
      </c>
    </row>
    <row r="13" spans="1:23" x14ac:dyDescent="0.25">
      <c r="A13" s="596"/>
      <c r="B13" s="596"/>
      <c r="C13" s="596"/>
      <c r="D13" s="596"/>
      <c r="E13" s="596"/>
      <c r="F13" s="596"/>
      <c r="G13" s="596"/>
      <c r="H13" s="596"/>
      <c r="I13" s="596"/>
      <c r="J13" s="596"/>
      <c r="K13" s="596"/>
      <c r="L13" s="596"/>
      <c r="M13" s="596"/>
      <c r="N13" s="596"/>
      <c r="O13" s="596"/>
      <c r="P13" s="596"/>
      <c r="Q13" s="596"/>
      <c r="R13" s="596"/>
      <c r="S13" s="596"/>
      <c r="T13" s="596"/>
      <c r="U13" s="596"/>
      <c r="V13" s="596"/>
      <c r="W13" s="596"/>
    </row>
    <row r="14" spans="1:23" x14ac:dyDescent="0.25">
      <c r="A14" s="596"/>
      <c r="B14" s="596"/>
      <c r="C14" s="596"/>
      <c r="D14" s="596"/>
      <c r="E14" s="596"/>
      <c r="F14" s="596"/>
      <c r="G14" s="596"/>
      <c r="H14" s="596"/>
      <c r="I14" s="596"/>
      <c r="J14" s="596"/>
      <c r="K14" s="596"/>
      <c r="L14" s="596"/>
      <c r="M14" s="596"/>
      <c r="N14" s="596"/>
      <c r="O14" s="596"/>
      <c r="P14" s="596"/>
      <c r="Q14" s="596"/>
      <c r="R14" s="596"/>
      <c r="S14" s="596"/>
      <c r="T14" s="596"/>
      <c r="U14" s="596"/>
      <c r="V14" s="596"/>
      <c r="W14" s="596"/>
    </row>
    <row r="15" spans="1:23" x14ac:dyDescent="0.25">
      <c r="A15" s="596"/>
      <c r="B15" s="596"/>
      <c r="C15" s="596"/>
      <c r="D15" s="596"/>
      <c r="E15" s="596"/>
      <c r="F15" s="596"/>
      <c r="G15" s="596"/>
      <c r="H15" s="596"/>
      <c r="I15" s="596"/>
      <c r="J15" s="596"/>
      <c r="K15" s="596"/>
      <c r="L15" s="596"/>
      <c r="M15" s="596"/>
      <c r="N15" s="596"/>
      <c r="O15" s="596"/>
      <c r="P15" s="596"/>
      <c r="Q15" s="596"/>
      <c r="R15" s="596"/>
      <c r="S15" s="596"/>
      <c r="T15" s="596"/>
      <c r="U15" s="596"/>
      <c r="V15" s="596"/>
      <c r="W15" s="596"/>
    </row>
    <row r="16" spans="1:23" x14ac:dyDescent="0.25">
      <c r="A16" s="596"/>
      <c r="B16" s="596"/>
      <c r="C16" s="596"/>
      <c r="D16" s="596"/>
      <c r="E16" s="596"/>
      <c r="F16" s="596"/>
      <c r="G16" s="596"/>
      <c r="H16" s="596"/>
      <c r="I16" s="596"/>
      <c r="J16" s="596"/>
      <c r="K16" s="596"/>
      <c r="L16" s="596"/>
      <c r="M16" s="596"/>
      <c r="N16" s="596"/>
      <c r="O16" s="596"/>
      <c r="P16" s="596"/>
      <c r="Q16" s="596"/>
      <c r="R16" s="596"/>
      <c r="S16" s="596"/>
      <c r="T16" s="596"/>
      <c r="U16" s="596"/>
      <c r="V16" s="596"/>
      <c r="W16" s="596"/>
    </row>
    <row r="17" spans="1:24" x14ac:dyDescent="0.25">
      <c r="A17" s="595"/>
      <c r="B17" s="595"/>
      <c r="C17" s="595"/>
      <c r="D17" s="595"/>
      <c r="E17" s="595"/>
      <c r="F17" s="595"/>
      <c r="G17" s="595"/>
      <c r="H17" s="595"/>
      <c r="I17" s="595"/>
      <c r="J17" s="595"/>
      <c r="K17" s="595"/>
      <c r="L17" s="595"/>
      <c r="M17" s="595"/>
      <c r="N17" s="595"/>
      <c r="O17" s="595"/>
      <c r="P17" s="595"/>
      <c r="Q17" s="595"/>
      <c r="R17" s="595"/>
      <c r="S17" s="595"/>
      <c r="T17" s="595"/>
      <c r="U17" s="595"/>
      <c r="V17" s="595"/>
      <c r="W17" s="595"/>
    </row>
    <row r="20" spans="1:24" x14ac:dyDescent="0.25">
      <c r="A20" s="537"/>
      <c r="B20" s="537"/>
      <c r="C20" s="537"/>
      <c r="D20" s="537"/>
      <c r="E20" s="537"/>
      <c r="F20" s="537"/>
      <c r="G20" s="537"/>
      <c r="H20" s="273"/>
      <c r="I20" s="12"/>
      <c r="J20" s="11"/>
      <c r="K20" s="12"/>
      <c r="L20" s="326"/>
      <c r="M20" s="324"/>
      <c r="N20" s="324"/>
      <c r="O20" s="324"/>
      <c r="P20" s="8"/>
      <c r="Q20" s="12"/>
      <c r="R20" s="537" t="s">
        <v>238</v>
      </c>
      <c r="S20" s="537"/>
      <c r="T20" s="537"/>
      <c r="U20" s="537"/>
      <c r="V20" s="537"/>
      <c r="W20" s="537"/>
      <c r="X20" s="537"/>
    </row>
    <row r="21" spans="1:24" x14ac:dyDescent="0.25">
      <c r="A21" s="545"/>
      <c r="B21" s="545"/>
      <c r="C21" s="545"/>
      <c r="D21" s="545"/>
      <c r="E21" s="545"/>
      <c r="F21" s="545"/>
      <c r="G21" s="545"/>
      <c r="H21" s="273"/>
      <c r="I21" s="12"/>
      <c r="J21" s="11"/>
      <c r="K21" s="12"/>
      <c r="L21" s="326"/>
      <c r="M21" s="324"/>
      <c r="N21" s="324"/>
      <c r="O21" s="324"/>
      <c r="P21" s="8"/>
      <c r="Q21" s="12"/>
      <c r="R21" s="545" t="s">
        <v>377</v>
      </c>
      <c r="S21" s="545"/>
      <c r="T21" s="545"/>
      <c r="U21" s="545"/>
      <c r="V21" s="545"/>
      <c r="W21" s="545"/>
      <c r="X21" s="545"/>
    </row>
    <row r="22" spans="1:24" x14ac:dyDescent="0.25">
      <c r="A22" s="537"/>
      <c r="B22" s="537"/>
      <c r="C22" s="537"/>
      <c r="D22" s="537"/>
      <c r="E22" s="537"/>
      <c r="F22" s="537"/>
      <c r="G22" s="537"/>
      <c r="H22" s="273"/>
      <c r="I22" s="12"/>
      <c r="J22" s="11"/>
      <c r="K22" s="12"/>
      <c r="L22" s="326"/>
      <c r="M22" s="324"/>
      <c r="N22" s="324"/>
      <c r="O22" s="324"/>
      <c r="P22" s="8"/>
      <c r="Q22" s="12"/>
      <c r="R22" s="537" t="s">
        <v>291</v>
      </c>
      <c r="S22" s="537"/>
      <c r="T22" s="537"/>
      <c r="U22" s="537"/>
      <c r="V22" s="537"/>
      <c r="W22" s="537"/>
      <c r="X22" s="537"/>
    </row>
    <row r="23" spans="1:24" x14ac:dyDescent="0.25">
      <c r="A23" s="537"/>
      <c r="B23" s="537"/>
      <c r="C23" s="537"/>
      <c r="D23" s="537"/>
      <c r="E23" s="537"/>
      <c r="F23" s="537"/>
      <c r="G23" s="537"/>
      <c r="H23" s="273"/>
      <c r="I23" s="12"/>
      <c r="J23" s="11"/>
      <c r="K23" s="12"/>
      <c r="L23" s="326"/>
      <c r="M23" s="324"/>
      <c r="N23" s="324"/>
      <c r="O23" s="324"/>
      <c r="P23" s="8"/>
      <c r="Q23" s="12"/>
      <c r="R23" s="537" t="s">
        <v>338</v>
      </c>
      <c r="S23" s="537"/>
      <c r="T23" s="537"/>
      <c r="U23" s="537"/>
      <c r="V23" s="537"/>
      <c r="W23" s="537"/>
      <c r="X23" s="537"/>
    </row>
    <row r="24" spans="1:24" x14ac:dyDescent="0.25">
      <c r="A24" s="538"/>
      <c r="B24" s="538"/>
      <c r="C24" s="538"/>
      <c r="D24" s="538"/>
      <c r="E24" s="538"/>
      <c r="F24" s="538"/>
      <c r="G24" s="538"/>
      <c r="H24" s="273"/>
      <c r="I24" s="12"/>
      <c r="J24" s="11"/>
      <c r="K24" s="12"/>
      <c r="L24" s="326"/>
      <c r="M24" s="324"/>
      <c r="N24" s="324"/>
      <c r="O24" s="324"/>
      <c r="P24" s="8"/>
      <c r="Q24" s="12"/>
      <c r="R24" s="538"/>
      <c r="S24" s="538"/>
      <c r="T24" s="538"/>
      <c r="U24" s="538"/>
      <c r="V24" s="538"/>
      <c r="W24" s="538"/>
      <c r="X24" s="538"/>
    </row>
    <row r="25" spans="1:24" x14ac:dyDescent="0.25">
      <c r="A25" s="459"/>
      <c r="B25" s="459"/>
      <c r="C25" s="459"/>
      <c r="D25" s="327"/>
      <c r="E25" s="459"/>
      <c r="F25" s="459"/>
      <c r="G25" s="459"/>
      <c r="H25" s="273"/>
      <c r="I25" s="12"/>
      <c r="J25" s="11"/>
      <c r="K25" s="12"/>
      <c r="L25" s="326"/>
      <c r="M25" s="324"/>
      <c r="N25" s="324"/>
      <c r="O25" s="324"/>
      <c r="P25" s="8"/>
      <c r="Q25" s="12"/>
      <c r="R25" s="460"/>
      <c r="S25" s="460"/>
      <c r="T25" s="460"/>
      <c r="U25" s="327"/>
      <c r="V25" s="460"/>
      <c r="W25" s="460"/>
      <c r="X25" s="460"/>
    </row>
    <row r="26" spans="1:24" x14ac:dyDescent="0.25">
      <c r="A26" s="459"/>
      <c r="B26" s="459"/>
      <c r="C26" s="459"/>
      <c r="D26" s="327"/>
      <c r="E26" s="459"/>
      <c r="F26" s="459"/>
      <c r="G26" s="459"/>
      <c r="H26" s="273"/>
      <c r="I26" s="12"/>
      <c r="J26" s="11"/>
      <c r="K26" s="12"/>
      <c r="L26" s="326"/>
      <c r="M26" s="324"/>
      <c r="N26" s="324"/>
      <c r="O26" s="324"/>
      <c r="P26" s="8"/>
      <c r="Q26" s="12"/>
      <c r="R26" s="460"/>
      <c r="S26" s="460"/>
      <c r="T26" s="460"/>
      <c r="U26" s="327"/>
      <c r="V26" s="460"/>
      <c r="W26" s="460"/>
      <c r="X26" s="460"/>
    </row>
    <row r="27" spans="1:24" ht="15.75" x14ac:dyDescent="0.3">
      <c r="A27" s="539"/>
      <c r="B27" s="539"/>
      <c r="C27" s="539"/>
      <c r="D27" s="539"/>
      <c r="E27" s="539"/>
      <c r="F27" s="539"/>
      <c r="G27" s="539"/>
      <c r="H27" s="273"/>
      <c r="I27" s="12"/>
      <c r="J27" s="11"/>
      <c r="K27" s="12"/>
      <c r="L27" s="326"/>
      <c r="M27" s="324"/>
      <c r="N27" s="324"/>
      <c r="O27" s="324"/>
      <c r="P27" s="8"/>
      <c r="Q27" s="12"/>
      <c r="R27" s="539" t="s">
        <v>239</v>
      </c>
      <c r="S27" s="539"/>
      <c r="T27" s="539"/>
      <c r="U27" s="539"/>
      <c r="V27" s="539"/>
      <c r="W27" s="539"/>
      <c r="X27" s="539"/>
    </row>
    <row r="28" spans="1:24" ht="15.75" x14ac:dyDescent="0.3">
      <c r="A28" s="542"/>
      <c r="B28" s="542"/>
      <c r="C28" s="542"/>
      <c r="D28" s="542"/>
      <c r="E28" s="542"/>
      <c r="F28" s="542"/>
      <c r="G28" s="542"/>
      <c r="H28" s="273"/>
      <c r="I28" s="12"/>
      <c r="J28" s="11"/>
      <c r="K28" s="12"/>
      <c r="L28" s="328"/>
      <c r="M28" s="12"/>
      <c r="N28" s="12"/>
      <c r="O28" s="12"/>
      <c r="P28" s="8"/>
      <c r="Q28" s="12"/>
      <c r="R28" s="542" t="s">
        <v>240</v>
      </c>
      <c r="S28" s="542"/>
      <c r="T28" s="542"/>
      <c r="U28" s="542"/>
      <c r="V28" s="542"/>
      <c r="W28" s="542"/>
      <c r="X28" s="542"/>
    </row>
  </sheetData>
  <mergeCells count="71">
    <mergeCell ref="A24:G24"/>
    <mergeCell ref="R24:X24"/>
    <mergeCell ref="A27:G27"/>
    <mergeCell ref="R27:X27"/>
    <mergeCell ref="A28:G28"/>
    <mergeCell ref="R28:X28"/>
    <mergeCell ref="A21:G21"/>
    <mergeCell ref="R21:X21"/>
    <mergeCell ref="A22:G22"/>
    <mergeCell ref="R22:X22"/>
    <mergeCell ref="A23:G23"/>
    <mergeCell ref="R23:X23"/>
    <mergeCell ref="S12:S17"/>
    <mergeCell ref="H12:H17"/>
    <mergeCell ref="I12:I17"/>
    <mergeCell ref="J12:J17"/>
    <mergeCell ref="K12:K17"/>
    <mergeCell ref="A20:G20"/>
    <mergeCell ref="N12:N17"/>
    <mergeCell ref="O12:O17"/>
    <mergeCell ref="P12:P17"/>
    <mergeCell ref="Q12:Q17"/>
    <mergeCell ref="A12:A17"/>
    <mergeCell ref="B12:B17"/>
    <mergeCell ref="C12:C17"/>
    <mergeCell ref="D12:D17"/>
    <mergeCell ref="E12:E17"/>
    <mergeCell ref="F12:F17"/>
    <mergeCell ref="G12:G17"/>
    <mergeCell ref="I10:J10"/>
    <mergeCell ref="K10:L10"/>
    <mergeCell ref="M10:N10"/>
    <mergeCell ref="G10:H10"/>
    <mergeCell ref="L12:L17"/>
    <mergeCell ref="M12:M17"/>
    <mergeCell ref="A10:A11"/>
    <mergeCell ref="B10:B11"/>
    <mergeCell ref="C10:C11"/>
    <mergeCell ref="D10:D11"/>
    <mergeCell ref="E10:F10"/>
    <mergeCell ref="A3:W3"/>
    <mergeCell ref="A4:W4"/>
    <mergeCell ref="A5:W5"/>
    <mergeCell ref="A7:A9"/>
    <mergeCell ref="B7:B9"/>
    <mergeCell ref="C7:C9"/>
    <mergeCell ref="D7:D9"/>
    <mergeCell ref="E7:F9"/>
    <mergeCell ref="G7:H9"/>
    <mergeCell ref="I7:P7"/>
    <mergeCell ref="Q7:R9"/>
    <mergeCell ref="S7:T9"/>
    <mergeCell ref="U7:U9"/>
    <mergeCell ref="V7:V9"/>
    <mergeCell ref="W7:W9"/>
    <mergeCell ref="R20:X20"/>
    <mergeCell ref="I8:J9"/>
    <mergeCell ref="K8:L9"/>
    <mergeCell ref="M8:N9"/>
    <mergeCell ref="O8:P9"/>
    <mergeCell ref="U10:U11"/>
    <mergeCell ref="V10:V11"/>
    <mergeCell ref="W10:W11"/>
    <mergeCell ref="O10:P10"/>
    <mergeCell ref="Q10:R10"/>
    <mergeCell ref="S10:T10"/>
    <mergeCell ref="T12:T17"/>
    <mergeCell ref="U12:U17"/>
    <mergeCell ref="V12:V17"/>
    <mergeCell ref="W12:W17"/>
    <mergeCell ref="R12:R17"/>
  </mergeCells>
  <pageMargins left="0.70866141732283472" right="0.70866141732283472" top="0.74803149606299213" bottom="0.74803149606299213" header="0.31496062992125984" footer="0.31496062992125984"/>
  <pageSetup paperSize="257"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7"/>
  <sheetViews>
    <sheetView topLeftCell="F2" workbookViewId="0">
      <selection activeCell="J36" sqref="J36"/>
    </sheetView>
  </sheetViews>
  <sheetFormatPr defaultRowHeight="15" x14ac:dyDescent="0.25"/>
  <cols>
    <col min="3" max="3" width="16.140625" customWidth="1"/>
    <col min="17" max="17" width="10.85546875" customWidth="1"/>
    <col min="20" max="20" width="11.28515625" customWidth="1"/>
    <col min="21" max="21" width="11.42578125" customWidth="1"/>
  </cols>
  <sheetData>
    <row r="1" spans="1:21" ht="15.75" x14ac:dyDescent="0.25">
      <c r="A1" s="463"/>
      <c r="B1" s="463"/>
      <c r="C1" s="464" t="s">
        <v>350</v>
      </c>
      <c r="D1" s="463"/>
      <c r="E1" s="463"/>
      <c r="F1" s="463"/>
      <c r="G1" s="463"/>
      <c r="H1" s="463"/>
      <c r="I1" s="463"/>
      <c r="J1" s="463"/>
      <c r="K1" s="463"/>
      <c r="L1" s="463"/>
      <c r="M1" s="463"/>
      <c r="N1" s="463"/>
      <c r="O1" s="463"/>
      <c r="P1" s="463"/>
      <c r="Q1" s="463"/>
      <c r="R1" s="463"/>
      <c r="S1" s="463"/>
      <c r="T1" s="463"/>
      <c r="U1" s="463"/>
    </row>
    <row r="2" spans="1:21" x14ac:dyDescent="0.25">
      <c r="A2" s="463"/>
      <c r="B2" s="463"/>
      <c r="C2" s="463"/>
      <c r="D2" s="463"/>
      <c r="E2" s="463"/>
      <c r="F2" s="463"/>
      <c r="G2" s="463"/>
      <c r="H2" s="463"/>
      <c r="I2" s="463"/>
      <c r="J2" s="463"/>
      <c r="K2" s="463"/>
      <c r="L2" s="463"/>
      <c r="M2" s="463"/>
      <c r="N2" s="463"/>
      <c r="O2" s="463"/>
      <c r="P2" s="463"/>
      <c r="Q2" s="463"/>
      <c r="R2" s="463"/>
      <c r="S2" s="463"/>
      <c r="T2" s="463"/>
      <c r="U2" s="463"/>
    </row>
    <row r="3" spans="1:21" x14ac:dyDescent="0.25">
      <c r="A3" s="463"/>
      <c r="B3" s="463"/>
      <c r="C3" s="463"/>
      <c r="D3" s="463"/>
      <c r="E3" s="463"/>
      <c r="F3" s="463"/>
      <c r="G3" s="463"/>
      <c r="H3" s="463"/>
      <c r="I3" s="463"/>
      <c r="J3" s="463"/>
      <c r="K3" s="463"/>
      <c r="L3" s="463"/>
      <c r="M3" s="463"/>
      <c r="N3" s="463"/>
      <c r="O3" s="463"/>
      <c r="P3" s="463"/>
      <c r="Q3" s="463"/>
      <c r="R3" s="463"/>
      <c r="S3" s="463"/>
      <c r="T3" s="463"/>
      <c r="U3" s="463"/>
    </row>
    <row r="4" spans="1:21" x14ac:dyDescent="0.25">
      <c r="A4" s="463"/>
      <c r="B4" s="463"/>
      <c r="C4" s="463"/>
      <c r="D4" s="463"/>
      <c r="E4" s="463"/>
      <c r="F4" s="463"/>
      <c r="G4" s="463"/>
      <c r="H4" s="463"/>
      <c r="I4" s="463"/>
      <c r="J4" s="463"/>
      <c r="K4" s="463"/>
      <c r="L4" s="463"/>
      <c r="M4" s="463"/>
      <c r="N4" s="463"/>
      <c r="O4" s="463"/>
      <c r="P4" s="463"/>
      <c r="Q4" s="463"/>
      <c r="R4" s="463"/>
      <c r="S4" s="463"/>
      <c r="T4" s="463"/>
      <c r="U4" s="463"/>
    </row>
    <row r="5" spans="1:21" x14ac:dyDescent="0.25">
      <c r="A5" s="578" t="s">
        <v>376</v>
      </c>
      <c r="B5" s="578"/>
      <c r="C5" s="578"/>
      <c r="D5" s="578"/>
      <c r="E5" s="578"/>
      <c r="F5" s="578"/>
      <c r="G5" s="578"/>
      <c r="H5" s="578"/>
      <c r="I5" s="578"/>
      <c r="J5" s="578"/>
      <c r="K5" s="578"/>
      <c r="L5" s="578"/>
      <c r="M5" s="578"/>
      <c r="N5" s="578"/>
      <c r="O5" s="578"/>
      <c r="P5" s="578"/>
      <c r="Q5" s="578"/>
      <c r="R5" s="578"/>
      <c r="S5" s="578"/>
      <c r="T5" s="578"/>
      <c r="U5" s="578"/>
    </row>
    <row r="6" spans="1:21" x14ac:dyDescent="0.25">
      <c r="A6" s="578" t="s">
        <v>351</v>
      </c>
      <c r="B6" s="578"/>
      <c r="C6" s="578"/>
      <c r="D6" s="578"/>
      <c r="E6" s="578"/>
      <c r="F6" s="578"/>
      <c r="G6" s="578"/>
      <c r="H6" s="578"/>
      <c r="I6" s="578"/>
      <c r="J6" s="578"/>
      <c r="K6" s="578"/>
      <c r="L6" s="578"/>
      <c r="M6" s="578"/>
      <c r="N6" s="578"/>
      <c r="O6" s="578"/>
      <c r="P6" s="578"/>
      <c r="Q6" s="578"/>
      <c r="R6" s="578"/>
      <c r="S6" s="578"/>
      <c r="T6" s="578"/>
      <c r="U6" s="578"/>
    </row>
    <row r="7" spans="1:21" s="578" customFormat="1" x14ac:dyDescent="0.25">
      <c r="A7" s="578" t="s">
        <v>352</v>
      </c>
    </row>
    <row r="8" spans="1:21" x14ac:dyDescent="0.25">
      <c r="A8" s="463"/>
      <c r="B8" s="463"/>
      <c r="C8" s="463"/>
      <c r="D8" s="463"/>
      <c r="E8" s="463"/>
      <c r="F8" s="463"/>
      <c r="G8" s="463"/>
      <c r="H8" s="463"/>
      <c r="I8" s="463"/>
      <c r="J8" s="463"/>
      <c r="K8" s="463"/>
      <c r="L8" s="463"/>
      <c r="M8" s="463"/>
      <c r="N8" s="463"/>
      <c r="O8" s="463"/>
      <c r="P8" s="463"/>
      <c r="Q8" s="463"/>
      <c r="R8" s="463"/>
      <c r="S8" s="463"/>
      <c r="T8" s="463"/>
      <c r="U8" s="463"/>
    </row>
    <row r="9" spans="1:21" x14ac:dyDescent="0.25">
      <c r="A9" s="579" t="s">
        <v>141</v>
      </c>
      <c r="B9" s="586" t="s">
        <v>353</v>
      </c>
      <c r="C9" s="580" t="s">
        <v>354</v>
      </c>
      <c r="D9" s="590" t="s">
        <v>355</v>
      </c>
      <c r="E9" s="603"/>
      <c r="F9" s="603"/>
      <c r="G9" s="603"/>
      <c r="H9" s="591"/>
      <c r="I9" s="583" t="s">
        <v>356</v>
      </c>
      <c r="J9" s="584"/>
      <c r="K9" s="584"/>
      <c r="L9" s="585"/>
      <c r="M9" s="579" t="s">
        <v>357</v>
      </c>
      <c r="N9" s="579"/>
      <c r="O9" s="579"/>
      <c r="P9" s="579"/>
      <c r="Q9" s="580" t="s">
        <v>358</v>
      </c>
      <c r="R9" s="579" t="s">
        <v>359</v>
      </c>
      <c r="S9" s="586" t="s">
        <v>360</v>
      </c>
      <c r="T9" s="586" t="s">
        <v>361</v>
      </c>
      <c r="U9" s="580" t="s">
        <v>362</v>
      </c>
    </row>
    <row r="10" spans="1:21" x14ac:dyDescent="0.25">
      <c r="A10" s="579"/>
      <c r="B10" s="586"/>
      <c r="C10" s="581"/>
      <c r="D10" s="580" t="s">
        <v>363</v>
      </c>
      <c r="E10" s="580" t="s">
        <v>364</v>
      </c>
      <c r="F10" s="580" t="s">
        <v>365</v>
      </c>
      <c r="G10" s="580" t="s">
        <v>366</v>
      </c>
      <c r="H10" s="598" t="s">
        <v>367</v>
      </c>
      <c r="I10" s="587" t="s">
        <v>368</v>
      </c>
      <c r="J10" s="589"/>
      <c r="K10" s="583" t="s">
        <v>369</v>
      </c>
      <c r="L10" s="585"/>
      <c r="M10" s="580" t="s">
        <v>370</v>
      </c>
      <c r="N10" s="594" t="s">
        <v>321</v>
      </c>
      <c r="O10" s="580" t="s">
        <v>371</v>
      </c>
      <c r="P10" s="580" t="s">
        <v>372</v>
      </c>
      <c r="Q10" s="581"/>
      <c r="R10" s="579"/>
      <c r="S10" s="586"/>
      <c r="T10" s="586"/>
      <c r="U10" s="581"/>
    </row>
    <row r="11" spans="1:21" ht="89.25" customHeight="1" x14ac:dyDescent="0.25">
      <c r="A11" s="579"/>
      <c r="B11" s="586"/>
      <c r="C11" s="582"/>
      <c r="D11" s="582"/>
      <c r="E11" s="582"/>
      <c r="F11" s="582"/>
      <c r="G11" s="582"/>
      <c r="H11" s="602"/>
      <c r="I11" s="470" t="s">
        <v>373</v>
      </c>
      <c r="J11" s="470" t="s">
        <v>374</v>
      </c>
      <c r="K11" s="470" t="s">
        <v>373</v>
      </c>
      <c r="L11" s="470" t="s">
        <v>374</v>
      </c>
      <c r="M11" s="582"/>
      <c r="N11" s="595"/>
      <c r="O11" s="582"/>
      <c r="P11" s="582"/>
      <c r="Q11" s="582"/>
      <c r="R11" s="579"/>
      <c r="S11" s="586"/>
      <c r="T11" s="586"/>
      <c r="U11" s="582"/>
    </row>
    <row r="12" spans="1:21" x14ac:dyDescent="0.25">
      <c r="A12" s="465">
        <v>1</v>
      </c>
      <c r="B12" s="465">
        <v>2</v>
      </c>
      <c r="C12" s="465">
        <v>3</v>
      </c>
      <c r="D12" s="465">
        <v>4</v>
      </c>
      <c r="E12" s="465">
        <v>5</v>
      </c>
      <c r="F12" s="465">
        <v>6</v>
      </c>
      <c r="G12" s="465">
        <v>7</v>
      </c>
      <c r="H12" s="465">
        <v>8</v>
      </c>
      <c r="I12" s="465">
        <v>9</v>
      </c>
      <c r="J12" s="465">
        <v>10</v>
      </c>
      <c r="K12" s="465">
        <v>11</v>
      </c>
      <c r="L12" s="465">
        <v>12</v>
      </c>
      <c r="M12" s="465">
        <v>13</v>
      </c>
      <c r="N12" s="465">
        <v>14</v>
      </c>
      <c r="O12" s="465">
        <v>15</v>
      </c>
      <c r="P12" s="465">
        <v>16</v>
      </c>
      <c r="Q12" s="465">
        <v>17</v>
      </c>
      <c r="R12" s="465">
        <v>18</v>
      </c>
      <c r="S12" s="465">
        <v>19</v>
      </c>
      <c r="T12" s="465">
        <v>20</v>
      </c>
      <c r="U12" s="465">
        <v>21</v>
      </c>
    </row>
    <row r="13" spans="1:21" x14ac:dyDescent="0.25">
      <c r="A13" s="594"/>
      <c r="B13" s="594" t="s">
        <v>375</v>
      </c>
      <c r="C13" s="594" t="s">
        <v>375</v>
      </c>
      <c r="D13" s="594" t="s">
        <v>375</v>
      </c>
      <c r="E13" s="594" t="s">
        <v>375</v>
      </c>
      <c r="F13" s="594" t="s">
        <v>375</v>
      </c>
      <c r="G13" s="594" t="s">
        <v>375</v>
      </c>
      <c r="H13" s="594" t="s">
        <v>375</v>
      </c>
      <c r="I13" s="594" t="s">
        <v>375</v>
      </c>
      <c r="J13" s="594" t="s">
        <v>375</v>
      </c>
      <c r="K13" s="594" t="s">
        <v>375</v>
      </c>
      <c r="L13" s="594" t="s">
        <v>375</v>
      </c>
      <c r="M13" s="594" t="s">
        <v>375</v>
      </c>
      <c r="N13" s="594" t="s">
        <v>375</v>
      </c>
      <c r="O13" s="594" t="s">
        <v>375</v>
      </c>
      <c r="P13" s="594" t="s">
        <v>375</v>
      </c>
      <c r="Q13" s="594" t="s">
        <v>375</v>
      </c>
      <c r="R13" s="594" t="s">
        <v>375</v>
      </c>
      <c r="S13" s="594" t="s">
        <v>375</v>
      </c>
      <c r="T13" s="594" t="s">
        <v>375</v>
      </c>
      <c r="U13" s="594" t="s">
        <v>375</v>
      </c>
    </row>
    <row r="14" spans="1:21" x14ac:dyDescent="0.25">
      <c r="A14" s="596"/>
      <c r="B14" s="596"/>
      <c r="C14" s="596"/>
      <c r="D14" s="596"/>
      <c r="E14" s="596"/>
      <c r="F14" s="596"/>
      <c r="G14" s="596"/>
      <c r="H14" s="596"/>
      <c r="I14" s="596"/>
      <c r="J14" s="596"/>
      <c r="K14" s="596"/>
      <c r="L14" s="596"/>
      <c r="M14" s="596"/>
      <c r="N14" s="596"/>
      <c r="O14" s="596"/>
      <c r="P14" s="596"/>
      <c r="Q14" s="596"/>
      <c r="R14" s="596"/>
      <c r="S14" s="596"/>
      <c r="T14" s="596"/>
      <c r="U14" s="596"/>
    </row>
    <row r="15" spans="1:21" x14ac:dyDescent="0.25">
      <c r="A15" s="596"/>
      <c r="B15" s="596"/>
      <c r="C15" s="596"/>
      <c r="D15" s="596"/>
      <c r="E15" s="596"/>
      <c r="F15" s="596"/>
      <c r="G15" s="596"/>
      <c r="H15" s="596"/>
      <c r="I15" s="596"/>
      <c r="J15" s="596"/>
      <c r="K15" s="596"/>
      <c r="L15" s="596"/>
      <c r="M15" s="596"/>
      <c r="N15" s="596"/>
      <c r="O15" s="596"/>
      <c r="P15" s="596"/>
      <c r="Q15" s="596"/>
      <c r="R15" s="596"/>
      <c r="S15" s="596"/>
      <c r="T15" s="596"/>
      <c r="U15" s="596"/>
    </row>
    <row r="16" spans="1:21" x14ac:dyDescent="0.25">
      <c r="A16" s="596"/>
      <c r="B16" s="596"/>
      <c r="C16" s="596"/>
      <c r="D16" s="596"/>
      <c r="E16" s="596"/>
      <c r="F16" s="596"/>
      <c r="G16" s="596"/>
      <c r="H16" s="596"/>
      <c r="I16" s="596"/>
      <c r="J16" s="596"/>
      <c r="K16" s="596"/>
      <c r="L16" s="596"/>
      <c r="M16" s="596"/>
      <c r="N16" s="596"/>
      <c r="O16" s="596"/>
      <c r="P16" s="596"/>
      <c r="Q16" s="596"/>
      <c r="R16" s="596"/>
      <c r="S16" s="596"/>
      <c r="T16" s="596"/>
      <c r="U16" s="596"/>
    </row>
    <row r="17" spans="1:21" x14ac:dyDescent="0.25">
      <c r="A17" s="596"/>
      <c r="B17" s="596"/>
      <c r="C17" s="596"/>
      <c r="D17" s="596"/>
      <c r="E17" s="596"/>
      <c r="F17" s="596"/>
      <c r="G17" s="596"/>
      <c r="H17" s="596"/>
      <c r="I17" s="596"/>
      <c r="J17" s="596"/>
      <c r="K17" s="596"/>
      <c r="L17" s="596"/>
      <c r="M17" s="596"/>
      <c r="N17" s="596"/>
      <c r="O17" s="596"/>
      <c r="P17" s="596"/>
      <c r="Q17" s="596"/>
      <c r="R17" s="596"/>
      <c r="S17" s="596"/>
      <c r="T17" s="596"/>
      <c r="U17" s="596"/>
    </row>
    <row r="18" spans="1:21" x14ac:dyDescent="0.25">
      <c r="A18" s="595"/>
      <c r="B18" s="595"/>
      <c r="C18" s="595"/>
      <c r="D18" s="595"/>
      <c r="E18" s="595"/>
      <c r="F18" s="595"/>
      <c r="G18" s="595"/>
      <c r="H18" s="595"/>
      <c r="I18" s="595"/>
      <c r="J18" s="595"/>
      <c r="K18" s="595"/>
      <c r="L18" s="595"/>
      <c r="M18" s="595"/>
      <c r="N18" s="595"/>
      <c r="O18" s="595"/>
      <c r="P18" s="595"/>
      <c r="Q18" s="595"/>
      <c r="R18" s="595"/>
      <c r="S18" s="595"/>
      <c r="T18" s="595"/>
      <c r="U18" s="595"/>
    </row>
    <row r="20" spans="1:21" x14ac:dyDescent="0.25">
      <c r="O20" s="545" t="s">
        <v>377</v>
      </c>
      <c r="P20" s="545"/>
      <c r="Q20" s="545"/>
      <c r="R20" s="545"/>
      <c r="S20" s="545"/>
      <c r="T20" s="545"/>
      <c r="U20" s="545"/>
    </row>
    <row r="21" spans="1:21" x14ac:dyDescent="0.25">
      <c r="O21" s="537" t="s">
        <v>291</v>
      </c>
      <c r="P21" s="537"/>
      <c r="Q21" s="537"/>
      <c r="R21" s="537"/>
      <c r="S21" s="537"/>
      <c r="T21" s="537"/>
      <c r="U21" s="537"/>
    </row>
    <row r="22" spans="1:21" x14ac:dyDescent="0.25">
      <c r="O22" s="537" t="s">
        <v>338</v>
      </c>
      <c r="P22" s="537"/>
      <c r="Q22" s="537"/>
      <c r="R22" s="537"/>
      <c r="S22" s="537"/>
      <c r="T22" s="537"/>
      <c r="U22" s="537"/>
    </row>
    <row r="23" spans="1:21" x14ac:dyDescent="0.25">
      <c r="O23" s="538"/>
      <c r="P23" s="538"/>
      <c r="Q23" s="538"/>
      <c r="R23" s="538"/>
      <c r="S23" s="538"/>
      <c r="T23" s="538"/>
      <c r="U23" s="538"/>
    </row>
    <row r="24" spans="1:21" x14ac:dyDescent="0.25">
      <c r="O24" s="459"/>
      <c r="P24" s="459"/>
      <c r="Q24" s="459"/>
      <c r="R24" s="327"/>
      <c r="S24" s="459"/>
      <c r="T24" s="459"/>
      <c r="U24" s="459"/>
    </row>
    <row r="25" spans="1:21" x14ac:dyDescent="0.25">
      <c r="O25" s="459"/>
      <c r="P25" s="459"/>
      <c r="Q25" s="459"/>
      <c r="R25" s="327"/>
      <c r="S25" s="459"/>
      <c r="T25" s="459"/>
      <c r="U25" s="459"/>
    </row>
    <row r="26" spans="1:21" ht="15.75" x14ac:dyDescent="0.3">
      <c r="O26" s="539" t="s">
        <v>239</v>
      </c>
      <c r="P26" s="539"/>
      <c r="Q26" s="539"/>
      <c r="R26" s="539"/>
      <c r="S26" s="539"/>
      <c r="T26" s="539"/>
      <c r="U26" s="539"/>
    </row>
    <row r="27" spans="1:21" ht="15.75" x14ac:dyDescent="0.3">
      <c r="O27" s="542" t="s">
        <v>240</v>
      </c>
      <c r="P27" s="542"/>
      <c r="Q27" s="542"/>
      <c r="R27" s="542"/>
      <c r="S27" s="542"/>
      <c r="T27" s="542"/>
      <c r="U27" s="542"/>
    </row>
  </sheetData>
  <mergeCells count="52">
    <mergeCell ref="P13:P18"/>
    <mergeCell ref="O22:U22"/>
    <mergeCell ref="O23:U23"/>
    <mergeCell ref="O26:U26"/>
    <mergeCell ref="O27:U27"/>
    <mergeCell ref="R13:R18"/>
    <mergeCell ref="S13:S18"/>
    <mergeCell ref="T13:T18"/>
    <mergeCell ref="U13:U18"/>
    <mergeCell ref="O20:U20"/>
    <mergeCell ref="O21:U21"/>
    <mergeCell ref="Q13:Q18"/>
    <mergeCell ref="F13:F18"/>
    <mergeCell ref="G13:G18"/>
    <mergeCell ref="H13:H18"/>
    <mergeCell ref="I13:I18"/>
    <mergeCell ref="J13:J18"/>
    <mergeCell ref="K13:K18"/>
    <mergeCell ref="K10:L10"/>
    <mergeCell ref="M10:M11"/>
    <mergeCell ref="N10:N11"/>
    <mergeCell ref="O10:O11"/>
    <mergeCell ref="L13:L18"/>
    <mergeCell ref="M13:M18"/>
    <mergeCell ref="N13:N18"/>
    <mergeCell ref="O13:O18"/>
    <mergeCell ref="A13:A18"/>
    <mergeCell ref="B13:B18"/>
    <mergeCell ref="C13:C18"/>
    <mergeCell ref="D13:D18"/>
    <mergeCell ref="E13:E18"/>
    <mergeCell ref="F10:F11"/>
    <mergeCell ref="G10:G11"/>
    <mergeCell ref="H10:H11"/>
    <mergeCell ref="I10:J10"/>
    <mergeCell ref="P10:P11"/>
    <mergeCell ref="A5:U5"/>
    <mergeCell ref="A6:U6"/>
    <mergeCell ref="A7:XFD7"/>
    <mergeCell ref="A9:A11"/>
    <mergeCell ref="B9:B11"/>
    <mergeCell ref="C9:C11"/>
    <mergeCell ref="D9:H9"/>
    <mergeCell ref="I9:L9"/>
    <mergeCell ref="M9:P9"/>
    <mergeCell ref="Q9:Q11"/>
    <mergeCell ref="R9:R11"/>
    <mergeCell ref="S9:S11"/>
    <mergeCell ref="T9:T11"/>
    <mergeCell ref="U9:U11"/>
    <mergeCell ref="D10:D11"/>
    <mergeCell ref="E10:E11"/>
  </mergeCells>
  <pageMargins left="0.70866141732283472" right="0.70866141732283472" top="0.74803149606299213" bottom="0.74803149606299213" header="0.31496062992125984" footer="0.31496062992125984"/>
  <pageSetup paperSize="257" scale="70"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07"/>
  <sheetViews>
    <sheetView zoomScale="80" zoomScaleNormal="80" workbookViewId="0">
      <pane ySplit="13" topLeftCell="A59" activePane="bottomLeft" state="frozen"/>
      <selection activeCell="B1" sqref="B1"/>
      <selection pane="bottomLeft" activeCell="P62" sqref="P62"/>
    </sheetView>
  </sheetViews>
  <sheetFormatPr defaultRowHeight="9" x14ac:dyDescent="0.15"/>
  <cols>
    <col min="1" max="1" width="3.5703125" style="2" customWidth="1"/>
    <col min="2" max="2" width="4.7109375" style="2" customWidth="1"/>
    <col min="3" max="3" width="2.7109375" style="2" customWidth="1"/>
    <col min="4" max="5" width="2.42578125" style="2" customWidth="1"/>
    <col min="6" max="6" width="3.140625" style="2" customWidth="1"/>
    <col min="7" max="7" width="15.42578125" style="2" customWidth="1"/>
    <col min="8" max="8" width="22.5703125" style="247" customWidth="1"/>
    <col min="9" max="9" width="18.7109375" style="2" customWidth="1"/>
    <col min="10" max="10" width="18.28515625" style="2" customWidth="1"/>
    <col min="11" max="11" width="19.7109375" style="340" customWidth="1"/>
    <col min="12" max="12" width="18.42578125" style="235" customWidth="1"/>
    <col min="13" max="13" width="18.85546875" style="330" customWidth="1"/>
    <col min="14" max="14" width="20.140625" style="252" customWidth="1"/>
    <col min="15" max="15" width="20" style="262" customWidth="1"/>
    <col min="16" max="16" width="16.7109375" style="392" customWidth="1"/>
    <col min="17" max="17" width="15.5703125" style="393" hidden="1" customWidth="1"/>
    <col min="18" max="18" width="11.7109375" style="394" hidden="1" customWidth="1"/>
    <col min="19" max="19" width="14.42578125" style="10" hidden="1" customWidth="1"/>
    <col min="20" max="20" width="14.5703125" style="4" hidden="1" customWidth="1"/>
    <col min="21" max="21" width="14" style="4" hidden="1" customWidth="1"/>
    <col min="22" max="22" width="13.7109375" style="4" hidden="1" customWidth="1"/>
    <col min="23" max="23" width="19.5703125" style="234" customWidth="1"/>
    <col min="24" max="24" width="15" style="242" customWidth="1"/>
    <col min="25" max="25" width="8.5703125" style="7" customWidth="1"/>
    <col min="26" max="26" width="7.7109375" style="4" customWidth="1"/>
    <col min="27" max="27" width="13.5703125" style="11" customWidth="1"/>
    <col min="28" max="28" width="14.7109375" style="4" customWidth="1"/>
    <col min="29" max="29" width="8" style="7" customWidth="1"/>
    <col min="30" max="30" width="7.5703125" style="5" customWidth="1"/>
    <col min="31" max="31" width="6.85546875" style="2" customWidth="1"/>
    <col min="32" max="32" width="9.85546875" style="2" hidden="1" customWidth="1"/>
    <col min="33" max="33" width="0" style="2" hidden="1" customWidth="1"/>
    <col min="34" max="34" width="10.42578125" style="2" customWidth="1"/>
    <col min="35" max="16384" width="9.140625" style="2"/>
  </cols>
  <sheetData>
    <row r="1" spans="1:35" ht="15" x14ac:dyDescent="0.25">
      <c r="B1" s="563" t="s">
        <v>379</v>
      </c>
      <c r="C1" s="564"/>
      <c r="D1" s="564"/>
      <c r="E1" s="564"/>
      <c r="F1" s="564"/>
      <c r="G1" s="564"/>
      <c r="H1" s="163"/>
      <c r="I1" s="163"/>
      <c r="J1" s="163"/>
      <c r="K1" s="341"/>
      <c r="L1" s="9"/>
      <c r="M1" s="8"/>
      <c r="N1" s="12"/>
      <c r="O1" s="273"/>
      <c r="P1" s="395"/>
      <c r="Q1" s="273"/>
      <c r="R1" s="395"/>
      <c r="S1" s="328"/>
    </row>
    <row r="2" spans="1:35" ht="15" x14ac:dyDescent="0.25">
      <c r="B2" s="1"/>
      <c r="C2" s="1"/>
      <c r="D2" s="463"/>
      <c r="H2" s="163"/>
      <c r="I2" s="163"/>
      <c r="J2" s="163"/>
      <c r="K2" s="341"/>
      <c r="L2" s="9"/>
      <c r="M2" s="8"/>
      <c r="N2" s="12"/>
      <c r="O2" s="273"/>
      <c r="P2" s="395"/>
      <c r="Q2" s="273"/>
      <c r="R2" s="395"/>
      <c r="S2" s="328"/>
    </row>
    <row r="3" spans="1:35" ht="15" x14ac:dyDescent="0.25">
      <c r="B3" s="1"/>
      <c r="C3" s="1"/>
      <c r="D3" s="1"/>
      <c r="H3" s="163"/>
      <c r="I3" s="163"/>
      <c r="J3" s="163"/>
      <c r="K3" s="341"/>
      <c r="L3" s="9"/>
      <c r="M3" s="8"/>
      <c r="N3" s="12"/>
      <c r="O3" s="273"/>
      <c r="P3" s="395"/>
      <c r="Q3" s="273"/>
      <c r="R3" s="395"/>
      <c r="S3" s="328"/>
    </row>
    <row r="4" spans="1:35" x14ac:dyDescent="0.15">
      <c r="H4" s="163"/>
      <c r="I4" s="163"/>
      <c r="J4" s="163"/>
      <c r="K4" s="341"/>
      <c r="L4" s="9"/>
      <c r="M4" s="8"/>
      <c r="N4" s="12"/>
      <c r="O4" s="273"/>
      <c r="P4" s="395"/>
      <c r="Q4" s="273"/>
      <c r="R4" s="395"/>
      <c r="S4" s="328"/>
    </row>
    <row r="5" spans="1:35" ht="24.75" customHeight="1" x14ac:dyDescent="0.15">
      <c r="B5" s="565" t="s">
        <v>390</v>
      </c>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H5" s="2" t="s">
        <v>173</v>
      </c>
    </row>
    <row r="6" spans="1:35" ht="23.25" customHeight="1" x14ac:dyDescent="0.15">
      <c r="B6" s="565" t="s">
        <v>301</v>
      </c>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row>
    <row r="7" spans="1:35" ht="23.25" customHeight="1" x14ac:dyDescent="0.15">
      <c r="B7" s="565"/>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row>
    <row r="8" spans="1:35" ht="9" customHeight="1" x14ac:dyDescent="0.15">
      <c r="B8" s="2" t="s">
        <v>173</v>
      </c>
      <c r="H8" s="163"/>
      <c r="K8" s="341"/>
      <c r="L8" s="9"/>
      <c r="M8" s="8"/>
      <c r="N8" s="12"/>
      <c r="O8" s="273"/>
      <c r="P8" s="395"/>
      <c r="Q8" s="273"/>
      <c r="R8" s="395"/>
      <c r="S8" s="328"/>
      <c r="T8" s="12"/>
      <c r="U8" s="12"/>
      <c r="V8" s="12"/>
      <c r="W8" s="8"/>
      <c r="X8" s="12"/>
    </row>
    <row r="9" spans="1:35" ht="15.75" customHeight="1" x14ac:dyDescent="0.15">
      <c r="A9" s="566" t="s">
        <v>141</v>
      </c>
      <c r="B9" s="547" t="s">
        <v>140</v>
      </c>
      <c r="C9" s="547"/>
      <c r="D9" s="547"/>
      <c r="E9" s="547"/>
      <c r="F9" s="547"/>
      <c r="G9" s="547" t="s">
        <v>164</v>
      </c>
      <c r="H9" s="547" t="s">
        <v>142</v>
      </c>
      <c r="I9" s="569" t="s">
        <v>174</v>
      </c>
      <c r="J9" s="569"/>
      <c r="K9" s="569" t="s">
        <v>391</v>
      </c>
      <c r="L9" s="569"/>
      <c r="M9" s="569" t="s">
        <v>392</v>
      </c>
      <c r="N9" s="569"/>
      <c r="O9" s="570" t="s">
        <v>165</v>
      </c>
      <c r="P9" s="571"/>
      <c r="Q9" s="571"/>
      <c r="R9" s="571"/>
      <c r="S9" s="571"/>
      <c r="T9" s="571"/>
      <c r="U9" s="571"/>
      <c r="V9" s="572"/>
      <c r="W9" s="547" t="s">
        <v>393</v>
      </c>
      <c r="X9" s="547"/>
      <c r="Y9" s="547" t="s">
        <v>394</v>
      </c>
      <c r="Z9" s="547"/>
      <c r="AA9" s="570" t="s">
        <v>395</v>
      </c>
      <c r="AB9" s="572"/>
      <c r="AC9" s="547" t="s">
        <v>396</v>
      </c>
      <c r="AD9" s="547"/>
      <c r="AE9" s="547" t="s">
        <v>168</v>
      </c>
      <c r="AF9" s="559" t="s">
        <v>101</v>
      </c>
      <c r="AG9" s="560" t="s">
        <v>169</v>
      </c>
      <c r="AH9" s="534" t="s">
        <v>380</v>
      </c>
      <c r="AI9" s="534" t="s">
        <v>381</v>
      </c>
    </row>
    <row r="10" spans="1:35" ht="15" customHeight="1" x14ac:dyDescent="0.15">
      <c r="A10" s="567"/>
      <c r="B10" s="547"/>
      <c r="C10" s="547"/>
      <c r="D10" s="547"/>
      <c r="E10" s="547"/>
      <c r="F10" s="547"/>
      <c r="G10" s="547"/>
      <c r="H10" s="547"/>
      <c r="I10" s="569"/>
      <c r="J10" s="569"/>
      <c r="K10" s="569"/>
      <c r="L10" s="569"/>
      <c r="M10" s="569"/>
      <c r="N10" s="569"/>
      <c r="O10" s="573"/>
      <c r="P10" s="574"/>
      <c r="Q10" s="574"/>
      <c r="R10" s="574"/>
      <c r="S10" s="574"/>
      <c r="T10" s="574"/>
      <c r="U10" s="574"/>
      <c r="V10" s="575"/>
      <c r="W10" s="547"/>
      <c r="X10" s="547"/>
      <c r="Y10" s="547"/>
      <c r="Z10" s="547"/>
      <c r="AA10" s="576"/>
      <c r="AB10" s="577"/>
      <c r="AC10" s="547"/>
      <c r="AD10" s="547"/>
      <c r="AE10" s="547"/>
      <c r="AF10" s="559"/>
      <c r="AG10" s="560"/>
      <c r="AH10" s="535"/>
      <c r="AI10" s="535"/>
    </row>
    <row r="11" spans="1:35" ht="45.75" customHeight="1" x14ac:dyDescent="0.15">
      <c r="A11" s="568"/>
      <c r="B11" s="547"/>
      <c r="C11" s="547"/>
      <c r="D11" s="547"/>
      <c r="E11" s="547"/>
      <c r="F11" s="547"/>
      <c r="G11" s="547"/>
      <c r="H11" s="547"/>
      <c r="I11" s="569"/>
      <c r="J11" s="569"/>
      <c r="K11" s="569"/>
      <c r="L11" s="569"/>
      <c r="M11" s="569"/>
      <c r="N11" s="569"/>
      <c r="O11" s="561" t="s">
        <v>0</v>
      </c>
      <c r="P11" s="562"/>
      <c r="Q11" s="561" t="s">
        <v>2</v>
      </c>
      <c r="R11" s="562"/>
      <c r="S11" s="548" t="s">
        <v>166</v>
      </c>
      <c r="T11" s="549"/>
      <c r="U11" s="548" t="s">
        <v>167</v>
      </c>
      <c r="V11" s="549"/>
      <c r="W11" s="547"/>
      <c r="X11" s="547"/>
      <c r="Y11" s="547"/>
      <c r="Z11" s="547"/>
      <c r="AA11" s="573"/>
      <c r="AB11" s="575"/>
      <c r="AC11" s="547"/>
      <c r="AD11" s="547"/>
      <c r="AE11" s="547"/>
      <c r="AF11" s="559"/>
      <c r="AG11" s="560"/>
      <c r="AH11" s="536"/>
      <c r="AI11" s="536"/>
    </row>
    <row r="12" spans="1:35" ht="23.25" hidden="1" customHeight="1" x14ac:dyDescent="0.15">
      <c r="A12" s="534">
        <v>1</v>
      </c>
      <c r="B12" s="550">
        <v>2</v>
      </c>
      <c r="C12" s="550"/>
      <c r="D12" s="550"/>
      <c r="E12" s="550"/>
      <c r="F12" s="550"/>
      <c r="G12" s="550">
        <v>3</v>
      </c>
      <c r="H12" s="550">
        <v>4</v>
      </c>
      <c r="I12" s="547">
        <v>5</v>
      </c>
      <c r="J12" s="547"/>
      <c r="K12" s="547">
        <v>6</v>
      </c>
      <c r="L12" s="547"/>
      <c r="M12" s="547">
        <v>7</v>
      </c>
      <c r="N12" s="547"/>
      <c r="O12" s="557">
        <v>8</v>
      </c>
      <c r="P12" s="558"/>
      <c r="Q12" s="557">
        <v>9</v>
      </c>
      <c r="R12" s="558"/>
      <c r="S12" s="548">
        <v>10</v>
      </c>
      <c r="T12" s="549"/>
      <c r="U12" s="548">
        <v>11</v>
      </c>
      <c r="V12" s="549"/>
      <c r="W12" s="547" t="s">
        <v>175</v>
      </c>
      <c r="X12" s="547"/>
      <c r="Y12" s="547" t="s">
        <v>176</v>
      </c>
      <c r="Z12" s="547"/>
      <c r="AA12" s="548" t="s">
        <v>177</v>
      </c>
      <c r="AB12" s="549"/>
      <c r="AC12" s="547" t="s">
        <v>178</v>
      </c>
      <c r="AD12" s="547"/>
      <c r="AE12" s="547">
        <v>16</v>
      </c>
      <c r="AF12" s="540">
        <v>17</v>
      </c>
      <c r="AG12" s="541">
        <v>18</v>
      </c>
      <c r="AH12" s="484"/>
      <c r="AI12" s="484"/>
    </row>
    <row r="13" spans="1:35" ht="15.75" customHeight="1" x14ac:dyDescent="0.15">
      <c r="A13" s="536"/>
      <c r="B13" s="550"/>
      <c r="C13" s="550"/>
      <c r="D13" s="550"/>
      <c r="E13" s="550"/>
      <c r="F13" s="550"/>
      <c r="G13" s="550"/>
      <c r="H13" s="550"/>
      <c r="I13" s="524" t="s">
        <v>1</v>
      </c>
      <c r="J13" s="524" t="s">
        <v>102</v>
      </c>
      <c r="K13" s="513" t="s">
        <v>1</v>
      </c>
      <c r="L13" s="524" t="s">
        <v>103</v>
      </c>
      <c r="M13" s="524" t="s">
        <v>1</v>
      </c>
      <c r="N13" s="514" t="s">
        <v>102</v>
      </c>
      <c r="O13" s="515" t="s">
        <v>1</v>
      </c>
      <c r="P13" s="516" t="s">
        <v>102</v>
      </c>
      <c r="Q13" s="515" t="s">
        <v>1</v>
      </c>
      <c r="R13" s="516" t="s">
        <v>102</v>
      </c>
      <c r="S13" s="524" t="s">
        <v>1</v>
      </c>
      <c r="T13" s="514" t="s">
        <v>102</v>
      </c>
      <c r="U13" s="524" t="s">
        <v>1</v>
      </c>
      <c r="V13" s="514" t="s">
        <v>102</v>
      </c>
      <c r="W13" s="524" t="s">
        <v>1</v>
      </c>
      <c r="X13" s="514" t="s">
        <v>102</v>
      </c>
      <c r="Y13" s="517" t="s">
        <v>1</v>
      </c>
      <c r="Z13" s="514" t="s">
        <v>102</v>
      </c>
      <c r="AA13" s="523" t="s">
        <v>1</v>
      </c>
      <c r="AB13" s="514" t="s">
        <v>102</v>
      </c>
      <c r="AC13" s="517" t="s">
        <v>1</v>
      </c>
      <c r="AD13" s="518" t="s">
        <v>102</v>
      </c>
      <c r="AE13" s="547"/>
      <c r="AF13" s="540"/>
      <c r="AG13" s="541"/>
      <c r="AH13" s="484"/>
      <c r="AI13" s="484"/>
    </row>
    <row r="14" spans="1:35" s="3" customFormat="1" ht="40.5" x14ac:dyDescent="0.25">
      <c r="A14" s="13"/>
      <c r="B14" s="14" t="s">
        <v>139</v>
      </c>
      <c r="C14" s="14" t="s">
        <v>73</v>
      </c>
      <c r="D14" s="14" t="s">
        <v>74</v>
      </c>
      <c r="E14" s="14" t="s">
        <v>74</v>
      </c>
      <c r="F14" s="15" t="s">
        <v>173</v>
      </c>
      <c r="G14" s="161" t="s">
        <v>3</v>
      </c>
      <c r="H14" s="16" t="s">
        <v>264</v>
      </c>
      <c r="I14" s="17">
        <v>60</v>
      </c>
      <c r="J14" s="156">
        <f>SUM(J15:J28)</f>
        <v>17848289472</v>
      </c>
      <c r="K14" s="337">
        <f>36+12</f>
        <v>48</v>
      </c>
      <c r="L14" s="18">
        <f>SUM(L15:L28)</f>
        <v>9673928235</v>
      </c>
      <c r="M14" s="17">
        <v>12</v>
      </c>
      <c r="N14" s="19">
        <f>SUM(N15:N28)</f>
        <v>2525913744</v>
      </c>
      <c r="O14" s="53">
        <v>3</v>
      </c>
      <c r="P14" s="54">
        <f>SUM(P15:P28)</f>
        <v>108472566</v>
      </c>
      <c r="Q14" s="53">
        <v>3</v>
      </c>
      <c r="R14" s="54">
        <f>SUM(R15:R28)</f>
        <v>0</v>
      </c>
      <c r="S14" s="21">
        <v>3</v>
      </c>
      <c r="T14" s="18">
        <f>SUM(T15:T28)</f>
        <v>0</v>
      </c>
      <c r="U14" s="22">
        <v>3</v>
      </c>
      <c r="V14" s="54">
        <f>SUM(V15:V28)</f>
        <v>0</v>
      </c>
      <c r="W14" s="22"/>
      <c r="X14" s="22">
        <f>P14+R14+T14+V14</f>
        <v>108472566</v>
      </c>
      <c r="Y14" s="23">
        <f>SUM(W14/M14*100)</f>
        <v>0</v>
      </c>
      <c r="Z14" s="24">
        <f>SUM(X14/N14*100)</f>
        <v>4.2943891594740062</v>
      </c>
      <c r="AA14" s="53">
        <f>SUM(K14+W14)</f>
        <v>48</v>
      </c>
      <c r="AB14" s="18">
        <f>SUM(L14+X14)</f>
        <v>9782400801</v>
      </c>
      <c r="AC14" s="55">
        <f>SUM(AA14/I14*100)</f>
        <v>80</v>
      </c>
      <c r="AD14" s="24">
        <f>SUM(AB14/J14*100)</f>
        <v>54.808618026654109</v>
      </c>
      <c r="AE14" s="25" t="s">
        <v>281</v>
      </c>
      <c r="AF14" s="25"/>
      <c r="AG14" s="272"/>
      <c r="AH14" s="491"/>
      <c r="AI14" s="491"/>
    </row>
    <row r="15" spans="1:35" ht="60.75" customHeight="1" x14ac:dyDescent="0.25">
      <c r="A15" s="26"/>
      <c r="B15" s="27" t="s">
        <v>139</v>
      </c>
      <c r="C15" s="27" t="s">
        <v>73</v>
      </c>
      <c r="D15" s="27" t="s">
        <v>74</v>
      </c>
      <c r="E15" s="27" t="s">
        <v>74</v>
      </c>
      <c r="F15" s="27" t="s">
        <v>74</v>
      </c>
      <c r="G15" s="28" t="s">
        <v>4</v>
      </c>
      <c r="H15" s="288" t="s">
        <v>112</v>
      </c>
      <c r="I15" s="30">
        <v>8900</v>
      </c>
      <c r="J15" s="31">
        <v>158104400</v>
      </c>
      <c r="K15" s="343">
        <f>5416+3000</f>
        <v>8416</v>
      </c>
      <c r="L15" s="148">
        <f>38967500+17901500</f>
        <v>56869000</v>
      </c>
      <c r="M15" s="33">
        <v>3000</v>
      </c>
      <c r="N15" s="34">
        <v>27000000</v>
      </c>
      <c r="O15" s="181">
        <v>0</v>
      </c>
      <c r="P15" s="421">
        <v>0</v>
      </c>
      <c r="Q15" s="422"/>
      <c r="R15" s="282"/>
      <c r="S15" s="245"/>
      <c r="T15" s="148"/>
      <c r="U15" s="148"/>
      <c r="V15" s="148"/>
      <c r="W15" s="153">
        <f>O15+Q15+S15+U15</f>
        <v>0</v>
      </c>
      <c r="X15" s="148">
        <f t="shared" ref="X15:X55" si="0">SUM(P15+R15+T15+V15)</f>
        <v>0</v>
      </c>
      <c r="Y15" s="38">
        <f>SUM(W15/M15*100)</f>
        <v>0</v>
      </c>
      <c r="Z15" s="39">
        <f>SUM(X15/N15*100)</f>
        <v>0</v>
      </c>
      <c r="AA15" s="338">
        <f>SUM(K15+W15)</f>
        <v>8416</v>
      </c>
      <c r="AB15" s="36">
        <f t="shared" ref="AB15:AB55" si="1">SUM(L15+X15)</f>
        <v>56869000</v>
      </c>
      <c r="AC15" s="143">
        <f>SUM(AA15/I15*100)</f>
        <v>94.561797752808985</v>
      </c>
      <c r="AD15" s="40">
        <f t="shared" ref="AD15:AD55" si="2">SUM(AB15/J15)*100</f>
        <v>35.969270937431212</v>
      </c>
      <c r="AE15" s="160" t="s">
        <v>281</v>
      </c>
      <c r="AF15" s="41"/>
      <c r="AG15" s="472"/>
      <c r="AH15" s="484"/>
      <c r="AI15" s="484"/>
    </row>
    <row r="16" spans="1:35" ht="54.75" customHeight="1" x14ac:dyDescent="0.25">
      <c r="A16" s="26"/>
      <c r="B16" s="27" t="s">
        <v>139</v>
      </c>
      <c r="C16" s="27" t="s">
        <v>73</v>
      </c>
      <c r="D16" s="27" t="s">
        <v>74</v>
      </c>
      <c r="E16" s="27" t="s">
        <v>74</v>
      </c>
      <c r="F16" s="27" t="s">
        <v>75</v>
      </c>
      <c r="G16" s="158" t="s">
        <v>5</v>
      </c>
      <c r="H16" s="288" t="s">
        <v>113</v>
      </c>
      <c r="I16" s="30">
        <v>60</v>
      </c>
      <c r="J16" s="31">
        <v>2944039600</v>
      </c>
      <c r="K16" s="343">
        <f>36+12</f>
        <v>48</v>
      </c>
      <c r="L16" s="148">
        <f>1116799733+415425941</f>
        <v>1532225674</v>
      </c>
      <c r="M16" s="33">
        <v>12</v>
      </c>
      <c r="N16" s="34">
        <v>380000000</v>
      </c>
      <c r="O16" s="181">
        <v>3</v>
      </c>
      <c r="P16" s="421">
        <v>410146</v>
      </c>
      <c r="Q16" s="422"/>
      <c r="R16" s="282"/>
      <c r="S16" s="245"/>
      <c r="T16" s="246"/>
      <c r="U16" s="154"/>
      <c r="V16" s="246"/>
      <c r="W16" s="153">
        <f t="shared" ref="W16:W55" si="3">O16+Q16+S16+U16</f>
        <v>3</v>
      </c>
      <c r="X16" s="148">
        <f>SUM(P16+R16+T16+V16)</f>
        <v>410146</v>
      </c>
      <c r="Y16" s="38">
        <f t="shared" ref="Y16:Z85" si="4">SUM(W16/M16*100)</f>
        <v>25</v>
      </c>
      <c r="Z16" s="39">
        <f t="shared" ref="Z16:Z25" si="5">SUM(X16/N16*100)</f>
        <v>0.10793315789473683</v>
      </c>
      <c r="AA16" s="338">
        <f t="shared" ref="AA16:AB85" si="6">SUM(K16+W16)</f>
        <v>51</v>
      </c>
      <c r="AB16" s="36">
        <f t="shared" si="1"/>
        <v>1532635820</v>
      </c>
      <c r="AC16" s="143">
        <f t="shared" ref="AC16:AC85" si="7">SUM(AA16/I16*100)</f>
        <v>85</v>
      </c>
      <c r="AD16" s="39">
        <f t="shared" si="2"/>
        <v>52.05894037566614</v>
      </c>
      <c r="AE16" s="160" t="s">
        <v>281</v>
      </c>
      <c r="AF16" s="41"/>
      <c r="AG16" s="472"/>
      <c r="AH16" s="484"/>
      <c r="AI16" s="484"/>
    </row>
    <row r="17" spans="1:45" ht="71.25" customHeight="1" x14ac:dyDescent="0.25">
      <c r="A17" s="26"/>
      <c r="B17" s="27" t="s">
        <v>139</v>
      </c>
      <c r="C17" s="27" t="s">
        <v>73</v>
      </c>
      <c r="D17" s="27" t="s">
        <v>74</v>
      </c>
      <c r="E17" s="27" t="s">
        <v>74</v>
      </c>
      <c r="F17" s="27" t="s">
        <v>76</v>
      </c>
      <c r="G17" s="28" t="s">
        <v>293</v>
      </c>
      <c r="H17" s="28" t="s">
        <v>114</v>
      </c>
      <c r="I17" s="30">
        <v>60</v>
      </c>
      <c r="J17" s="31">
        <v>212581300</v>
      </c>
      <c r="K17" s="344">
        <f>36+42</f>
        <v>78</v>
      </c>
      <c r="L17" s="148">
        <f>85227700+24997700</f>
        <v>110225400</v>
      </c>
      <c r="M17" s="33" t="s">
        <v>397</v>
      </c>
      <c r="N17" s="34">
        <v>66540000</v>
      </c>
      <c r="O17" s="181"/>
      <c r="P17" s="421">
        <v>19325100</v>
      </c>
      <c r="Q17" s="422"/>
      <c r="R17" s="282"/>
      <c r="S17" s="152"/>
      <c r="T17" s="148"/>
      <c r="U17" s="153"/>
      <c r="V17" s="148"/>
      <c r="W17" s="153">
        <f t="shared" si="3"/>
        <v>0</v>
      </c>
      <c r="X17" s="148">
        <f>SUM(P17+R17+T17+V17)</f>
        <v>19325100</v>
      </c>
      <c r="Y17" s="38" t="e">
        <f t="shared" si="4"/>
        <v>#VALUE!</v>
      </c>
      <c r="Z17" s="39">
        <f t="shared" si="5"/>
        <v>29.04283137962128</v>
      </c>
      <c r="AA17" s="338">
        <f t="shared" si="6"/>
        <v>78</v>
      </c>
      <c r="AB17" s="36">
        <f t="shared" si="1"/>
        <v>129550500</v>
      </c>
      <c r="AC17" s="143">
        <f t="shared" si="7"/>
        <v>130</v>
      </c>
      <c r="AD17" s="39">
        <f t="shared" si="2"/>
        <v>60.941625627465825</v>
      </c>
      <c r="AE17" s="160" t="s">
        <v>281</v>
      </c>
      <c r="AF17" s="47"/>
      <c r="AG17" s="473"/>
      <c r="AH17" s="484"/>
      <c r="AI17" s="484"/>
    </row>
    <row r="18" spans="1:45" ht="48.75" customHeight="1" x14ac:dyDescent="0.25">
      <c r="A18" s="26"/>
      <c r="B18" s="27" t="s">
        <v>139</v>
      </c>
      <c r="C18" s="27" t="s">
        <v>73</v>
      </c>
      <c r="D18" s="27" t="s">
        <v>74</v>
      </c>
      <c r="E18" s="27" t="s">
        <v>74</v>
      </c>
      <c r="F18" s="27" t="s">
        <v>77</v>
      </c>
      <c r="G18" s="28" t="s">
        <v>7</v>
      </c>
      <c r="H18" s="288" t="s">
        <v>6</v>
      </c>
      <c r="I18" s="30">
        <v>253</v>
      </c>
      <c r="J18" s="31">
        <v>1513759545</v>
      </c>
      <c r="K18" s="343">
        <f>105+3</f>
        <v>108</v>
      </c>
      <c r="L18" s="148">
        <f>654789002+254076000</f>
        <v>908865002</v>
      </c>
      <c r="M18" s="33" t="s">
        <v>398</v>
      </c>
      <c r="N18" s="59">
        <v>336900000</v>
      </c>
      <c r="O18" s="181"/>
      <c r="P18" s="282">
        <v>0</v>
      </c>
      <c r="Q18" s="422"/>
      <c r="R18" s="282"/>
      <c r="S18" s="172"/>
      <c r="T18" s="251"/>
      <c r="U18" s="181"/>
      <c r="V18" s="251"/>
      <c r="W18" s="153">
        <f t="shared" si="3"/>
        <v>0</v>
      </c>
      <c r="X18" s="148">
        <f t="shared" si="0"/>
        <v>0</v>
      </c>
      <c r="Y18" s="38" t="e">
        <f t="shared" si="4"/>
        <v>#VALUE!</v>
      </c>
      <c r="Z18" s="39">
        <f t="shared" si="5"/>
        <v>0</v>
      </c>
      <c r="AA18" s="338">
        <f t="shared" si="6"/>
        <v>108</v>
      </c>
      <c r="AB18" s="36">
        <f t="shared" si="1"/>
        <v>908865002</v>
      </c>
      <c r="AC18" s="143">
        <f t="shared" si="7"/>
        <v>42.687747035573118</v>
      </c>
      <c r="AD18" s="39">
        <f t="shared" si="2"/>
        <v>60.040249126884945</v>
      </c>
      <c r="AE18" s="160" t="s">
        <v>281</v>
      </c>
      <c r="AF18" s="41"/>
      <c r="AG18" s="472"/>
      <c r="AH18" s="484"/>
      <c r="AI18" s="484"/>
    </row>
    <row r="19" spans="1:45" ht="30.75" customHeight="1" x14ac:dyDescent="0.25">
      <c r="A19" s="26"/>
      <c r="B19" s="27" t="s">
        <v>139</v>
      </c>
      <c r="C19" s="27" t="s">
        <v>73</v>
      </c>
      <c r="D19" s="27" t="s">
        <v>74</v>
      </c>
      <c r="E19" s="27" t="s">
        <v>74</v>
      </c>
      <c r="F19" s="27" t="s">
        <v>78</v>
      </c>
      <c r="G19" s="158" t="s">
        <v>9</v>
      </c>
      <c r="H19" s="288" t="s">
        <v>8</v>
      </c>
      <c r="I19" s="30">
        <v>7</v>
      </c>
      <c r="J19" s="31">
        <v>2019794300</v>
      </c>
      <c r="K19" s="344">
        <f>6+12</f>
        <v>18</v>
      </c>
      <c r="L19" s="148">
        <f>938507300+368907860</f>
        <v>1307415160</v>
      </c>
      <c r="M19" s="33">
        <v>12</v>
      </c>
      <c r="N19" s="59">
        <v>411693900</v>
      </c>
      <c r="O19" s="181">
        <v>3</v>
      </c>
      <c r="P19" s="421">
        <v>0</v>
      </c>
      <c r="Q19" s="422"/>
      <c r="R19" s="282"/>
      <c r="S19" s="154"/>
      <c r="T19" s="148"/>
      <c r="U19" s="153"/>
      <c r="V19" s="148"/>
      <c r="W19" s="153">
        <f t="shared" si="3"/>
        <v>3</v>
      </c>
      <c r="X19" s="148">
        <f t="shared" si="0"/>
        <v>0</v>
      </c>
      <c r="Y19" s="38">
        <f t="shared" si="4"/>
        <v>25</v>
      </c>
      <c r="Z19" s="39">
        <f t="shared" si="5"/>
        <v>0</v>
      </c>
      <c r="AA19" s="338">
        <f t="shared" si="6"/>
        <v>21</v>
      </c>
      <c r="AB19" s="36">
        <f t="shared" si="1"/>
        <v>1307415160</v>
      </c>
      <c r="AC19" s="143">
        <f t="shared" si="7"/>
        <v>300</v>
      </c>
      <c r="AD19" s="39">
        <f t="shared" si="2"/>
        <v>64.730114348773043</v>
      </c>
      <c r="AE19" s="160" t="s">
        <v>281</v>
      </c>
      <c r="AF19" s="41"/>
      <c r="AG19" s="472"/>
      <c r="AH19" s="484"/>
      <c r="AI19" s="484"/>
    </row>
    <row r="20" spans="1:45" ht="59.25" customHeight="1" x14ac:dyDescent="0.25">
      <c r="A20" s="26"/>
      <c r="B20" s="27" t="s">
        <v>139</v>
      </c>
      <c r="C20" s="27" t="s">
        <v>73</v>
      </c>
      <c r="D20" s="27" t="s">
        <v>74</v>
      </c>
      <c r="E20" s="27" t="s">
        <v>74</v>
      </c>
      <c r="F20" s="27" t="s">
        <v>79</v>
      </c>
      <c r="G20" s="158" t="s">
        <v>11</v>
      </c>
      <c r="H20" s="288" t="s">
        <v>10</v>
      </c>
      <c r="I20" s="30">
        <v>60</v>
      </c>
      <c r="J20" s="31">
        <v>3127612475</v>
      </c>
      <c r="K20" s="344">
        <f>36+12</f>
        <v>48</v>
      </c>
      <c r="L20" s="148">
        <f>1506956300+633657000</f>
        <v>2140613300</v>
      </c>
      <c r="M20" s="33">
        <v>12</v>
      </c>
      <c r="N20" s="59">
        <v>422840000</v>
      </c>
      <c r="O20" s="181">
        <v>3</v>
      </c>
      <c r="P20" s="421">
        <v>0</v>
      </c>
      <c r="Q20" s="422"/>
      <c r="R20" s="282"/>
      <c r="S20" s="154"/>
      <c r="T20" s="148"/>
      <c r="U20" s="154"/>
      <c r="V20" s="148"/>
      <c r="W20" s="153">
        <f t="shared" si="3"/>
        <v>3</v>
      </c>
      <c r="X20" s="148">
        <f t="shared" si="0"/>
        <v>0</v>
      </c>
      <c r="Y20" s="38">
        <f t="shared" si="4"/>
        <v>25</v>
      </c>
      <c r="Z20" s="39">
        <f t="shared" si="5"/>
        <v>0</v>
      </c>
      <c r="AA20" s="338">
        <f t="shared" si="6"/>
        <v>51</v>
      </c>
      <c r="AB20" s="36">
        <f t="shared" si="1"/>
        <v>2140613300</v>
      </c>
      <c r="AC20" s="143">
        <f t="shared" si="7"/>
        <v>85</v>
      </c>
      <c r="AD20" s="39">
        <f t="shared" si="2"/>
        <v>68.442408294205308</v>
      </c>
      <c r="AE20" s="160" t="s">
        <v>281</v>
      </c>
      <c r="AF20" s="41"/>
      <c r="AG20" s="472"/>
      <c r="AH20" s="484"/>
      <c r="AI20" s="484"/>
    </row>
    <row r="21" spans="1:45" ht="57.75" customHeight="1" x14ac:dyDescent="0.25">
      <c r="A21" s="26"/>
      <c r="B21" s="27" t="s">
        <v>139</v>
      </c>
      <c r="C21" s="27" t="s">
        <v>73</v>
      </c>
      <c r="D21" s="27" t="s">
        <v>74</v>
      </c>
      <c r="E21" s="27" t="s">
        <v>74</v>
      </c>
      <c r="F21" s="27" t="s">
        <v>80</v>
      </c>
      <c r="G21" s="49" t="s">
        <v>81</v>
      </c>
      <c r="H21" s="28" t="s">
        <v>115</v>
      </c>
      <c r="I21" s="30">
        <v>60</v>
      </c>
      <c r="J21" s="31">
        <v>301272800</v>
      </c>
      <c r="K21" s="343">
        <f>36+3</f>
        <v>39</v>
      </c>
      <c r="L21" s="148">
        <f>79061600+25301500</f>
        <v>104363100</v>
      </c>
      <c r="M21" s="33">
        <v>12</v>
      </c>
      <c r="N21" s="59">
        <v>21100000</v>
      </c>
      <c r="O21" s="181">
        <v>3</v>
      </c>
      <c r="P21" s="421">
        <v>0</v>
      </c>
      <c r="Q21" s="422"/>
      <c r="R21" s="282"/>
      <c r="S21" s="152"/>
      <c r="T21" s="148"/>
      <c r="U21" s="154"/>
      <c r="V21" s="148"/>
      <c r="W21" s="153">
        <f t="shared" si="3"/>
        <v>3</v>
      </c>
      <c r="X21" s="148">
        <f t="shared" si="0"/>
        <v>0</v>
      </c>
      <c r="Y21" s="38">
        <f t="shared" si="4"/>
        <v>25</v>
      </c>
      <c r="Z21" s="39">
        <f t="shared" si="5"/>
        <v>0</v>
      </c>
      <c r="AA21" s="338">
        <f t="shared" si="6"/>
        <v>42</v>
      </c>
      <c r="AB21" s="36">
        <f t="shared" si="1"/>
        <v>104363100</v>
      </c>
      <c r="AC21" s="143">
        <f t="shared" si="7"/>
        <v>70</v>
      </c>
      <c r="AD21" s="39">
        <f t="shared" si="2"/>
        <v>34.640730925593019</v>
      </c>
      <c r="AE21" s="160" t="s">
        <v>281</v>
      </c>
      <c r="AF21" s="41"/>
      <c r="AG21" s="472"/>
      <c r="AH21" s="484"/>
      <c r="AI21" s="484"/>
    </row>
    <row r="22" spans="1:45" s="150" customFormat="1" ht="42" customHeight="1" x14ac:dyDescent="0.25">
      <c r="A22" s="147"/>
      <c r="B22" s="256" t="s">
        <v>139</v>
      </c>
      <c r="C22" s="256" t="s">
        <v>73</v>
      </c>
      <c r="D22" s="256" t="s">
        <v>74</v>
      </c>
      <c r="E22" s="256" t="s">
        <v>74</v>
      </c>
      <c r="F22" s="256" t="s">
        <v>143</v>
      </c>
      <c r="G22" s="257" t="s">
        <v>179</v>
      </c>
      <c r="H22" s="28" t="s">
        <v>180</v>
      </c>
      <c r="I22" s="30">
        <v>22</v>
      </c>
      <c r="J22" s="31">
        <v>274895712</v>
      </c>
      <c r="K22" s="344">
        <f>9+12</f>
        <v>21</v>
      </c>
      <c r="L22" s="148">
        <f>63360000+8795000</f>
        <v>72155000</v>
      </c>
      <c r="M22" s="33">
        <v>12</v>
      </c>
      <c r="N22" s="59">
        <v>36200000</v>
      </c>
      <c r="O22" s="181">
        <v>3</v>
      </c>
      <c r="P22" s="421">
        <v>0</v>
      </c>
      <c r="Q22" s="422"/>
      <c r="R22" s="282"/>
      <c r="S22" s="154"/>
      <c r="T22" s="148"/>
      <c r="U22" s="154"/>
      <c r="V22" s="148"/>
      <c r="W22" s="153">
        <f t="shared" si="3"/>
        <v>3</v>
      </c>
      <c r="X22" s="148">
        <f t="shared" si="0"/>
        <v>0</v>
      </c>
      <c r="Y22" s="38">
        <f t="shared" si="4"/>
        <v>25</v>
      </c>
      <c r="Z22" s="39">
        <f t="shared" si="5"/>
        <v>0</v>
      </c>
      <c r="AA22" s="338">
        <f t="shared" si="6"/>
        <v>24</v>
      </c>
      <c r="AB22" s="148">
        <f t="shared" si="1"/>
        <v>72155000</v>
      </c>
      <c r="AC22" s="143">
        <f t="shared" si="7"/>
        <v>109.09090909090908</v>
      </c>
      <c r="AD22" s="258">
        <f t="shared" si="2"/>
        <v>26.248135874887712</v>
      </c>
      <c r="AE22" s="259" t="s">
        <v>281</v>
      </c>
      <c r="AF22" s="151"/>
      <c r="AG22" s="474"/>
      <c r="AH22" s="485"/>
      <c r="AI22" s="485"/>
    </row>
    <row r="23" spans="1:45" s="150" customFormat="1" ht="69" customHeight="1" x14ac:dyDescent="0.25">
      <c r="A23" s="147"/>
      <c r="B23" s="256" t="s">
        <v>139</v>
      </c>
      <c r="C23" s="256" t="s">
        <v>73</v>
      </c>
      <c r="D23" s="256" t="s">
        <v>74</v>
      </c>
      <c r="E23" s="256" t="s">
        <v>74</v>
      </c>
      <c r="F23" s="256" t="s">
        <v>82</v>
      </c>
      <c r="G23" s="158" t="s">
        <v>12</v>
      </c>
      <c r="H23" s="288" t="s">
        <v>273</v>
      </c>
      <c r="I23" s="30">
        <v>48</v>
      </c>
      <c r="J23" s="31">
        <v>421151800</v>
      </c>
      <c r="K23" s="344">
        <f>24+12</f>
        <v>36</v>
      </c>
      <c r="L23" s="148">
        <f>138907500+42750000</f>
        <v>181657500</v>
      </c>
      <c r="M23" s="33">
        <v>12</v>
      </c>
      <c r="N23" s="59">
        <v>42270000</v>
      </c>
      <c r="O23" s="181">
        <v>3</v>
      </c>
      <c r="P23" s="421">
        <v>3130000</v>
      </c>
      <c r="Q23" s="422"/>
      <c r="R23" s="282"/>
      <c r="S23" s="154"/>
      <c r="T23" s="148"/>
      <c r="U23" s="154"/>
      <c r="V23" s="148"/>
      <c r="W23" s="153">
        <f t="shared" si="3"/>
        <v>3</v>
      </c>
      <c r="X23" s="148">
        <f t="shared" si="0"/>
        <v>3130000</v>
      </c>
      <c r="Y23" s="38">
        <f t="shared" si="4"/>
        <v>25</v>
      </c>
      <c r="Z23" s="39">
        <f t="shared" si="5"/>
        <v>7.4047788029335235</v>
      </c>
      <c r="AA23" s="338">
        <f t="shared" si="6"/>
        <v>39</v>
      </c>
      <c r="AB23" s="148">
        <f t="shared" si="1"/>
        <v>184787500</v>
      </c>
      <c r="AC23" s="143">
        <f t="shared" si="7"/>
        <v>81.25</v>
      </c>
      <c r="AD23" s="149">
        <f t="shared" si="2"/>
        <v>43.876697190894113</v>
      </c>
      <c r="AE23" s="259" t="s">
        <v>281</v>
      </c>
      <c r="AF23" s="151"/>
      <c r="AG23" s="474"/>
      <c r="AH23" s="485"/>
      <c r="AI23" s="485"/>
    </row>
    <row r="24" spans="1:45" s="150" customFormat="1" ht="42.75" customHeight="1" x14ac:dyDescent="0.25">
      <c r="A24" s="147"/>
      <c r="B24" s="256" t="s">
        <v>139</v>
      </c>
      <c r="C24" s="256" t="s">
        <v>73</v>
      </c>
      <c r="D24" s="256" t="s">
        <v>74</v>
      </c>
      <c r="E24" s="256" t="s">
        <v>74</v>
      </c>
      <c r="F24" s="256" t="s">
        <v>83</v>
      </c>
      <c r="G24" s="158" t="s">
        <v>14</v>
      </c>
      <c r="H24" s="288" t="s">
        <v>13</v>
      </c>
      <c r="I24" s="30">
        <v>60</v>
      </c>
      <c r="J24" s="31">
        <v>1343799990</v>
      </c>
      <c r="K24" s="344">
        <f>36+12</f>
        <v>48</v>
      </c>
      <c r="L24" s="148">
        <f>395590248+111430000</f>
        <v>507020248</v>
      </c>
      <c r="M24" s="33">
        <v>12</v>
      </c>
      <c r="N24" s="59">
        <v>118340000</v>
      </c>
      <c r="O24" s="181">
        <v>3</v>
      </c>
      <c r="P24" s="421">
        <v>23500000</v>
      </c>
      <c r="Q24" s="422"/>
      <c r="R24" s="282"/>
      <c r="S24" s="154"/>
      <c r="T24" s="148"/>
      <c r="U24" s="153"/>
      <c r="V24" s="148"/>
      <c r="W24" s="153">
        <f t="shared" si="3"/>
        <v>3</v>
      </c>
      <c r="X24" s="148">
        <f t="shared" si="0"/>
        <v>23500000</v>
      </c>
      <c r="Y24" s="38">
        <f t="shared" si="4"/>
        <v>25</v>
      </c>
      <c r="Z24" s="39">
        <f t="shared" si="5"/>
        <v>19.858036166976508</v>
      </c>
      <c r="AA24" s="338">
        <f t="shared" si="6"/>
        <v>51</v>
      </c>
      <c r="AB24" s="148">
        <f t="shared" si="1"/>
        <v>530520248</v>
      </c>
      <c r="AC24" s="143">
        <f t="shared" si="7"/>
        <v>85</v>
      </c>
      <c r="AD24" s="149">
        <f t="shared" si="2"/>
        <v>39.479107899085484</v>
      </c>
      <c r="AE24" s="259" t="s">
        <v>281</v>
      </c>
      <c r="AF24" s="151"/>
      <c r="AG24" s="474"/>
      <c r="AH24" s="485"/>
      <c r="AI24" s="485"/>
    </row>
    <row r="25" spans="1:45" s="150" customFormat="1" ht="40.5" x14ac:dyDescent="0.25">
      <c r="A25" s="147"/>
      <c r="B25" s="256" t="s">
        <v>139</v>
      </c>
      <c r="C25" s="256" t="s">
        <v>73</v>
      </c>
      <c r="D25" s="256" t="s">
        <v>74</v>
      </c>
      <c r="E25" s="256" t="s">
        <v>74</v>
      </c>
      <c r="F25" s="256" t="s">
        <v>84</v>
      </c>
      <c r="G25" s="158" t="s">
        <v>15</v>
      </c>
      <c r="H25" s="288" t="s">
        <v>116</v>
      </c>
      <c r="I25" s="30">
        <v>60</v>
      </c>
      <c r="J25" s="31">
        <v>5145622484</v>
      </c>
      <c r="K25" s="344">
        <f>36+12</f>
        <v>48</v>
      </c>
      <c r="L25" s="148">
        <f>1798077604+793573747</f>
        <v>2591651351</v>
      </c>
      <c r="M25" s="33">
        <v>12</v>
      </c>
      <c r="N25" s="59">
        <v>483349844</v>
      </c>
      <c r="O25" s="181">
        <v>3</v>
      </c>
      <c r="P25" s="421">
        <v>50584820</v>
      </c>
      <c r="Q25" s="422"/>
      <c r="R25" s="282"/>
      <c r="S25" s="154"/>
      <c r="T25" s="148"/>
      <c r="U25" s="153"/>
      <c r="V25" s="148"/>
      <c r="W25" s="153">
        <f t="shared" si="3"/>
        <v>3</v>
      </c>
      <c r="X25" s="148">
        <f t="shared" si="0"/>
        <v>50584820</v>
      </c>
      <c r="Y25" s="38">
        <f t="shared" si="4"/>
        <v>25</v>
      </c>
      <c r="Z25" s="39">
        <f t="shared" si="5"/>
        <v>10.46546732722231</v>
      </c>
      <c r="AA25" s="338">
        <f t="shared" si="6"/>
        <v>51</v>
      </c>
      <c r="AB25" s="148">
        <f t="shared" si="1"/>
        <v>2642236171</v>
      </c>
      <c r="AC25" s="143">
        <f t="shared" si="7"/>
        <v>85</v>
      </c>
      <c r="AD25" s="149">
        <f t="shared" si="2"/>
        <v>51.349203701124068</v>
      </c>
      <c r="AE25" s="259" t="s">
        <v>281</v>
      </c>
      <c r="AF25" s="151"/>
      <c r="AG25" s="474"/>
      <c r="AH25" s="485"/>
      <c r="AI25" s="485"/>
    </row>
    <row r="26" spans="1:45" s="150" customFormat="1" ht="40.5" x14ac:dyDescent="0.25">
      <c r="A26" s="147"/>
      <c r="B26" s="256" t="s">
        <v>139</v>
      </c>
      <c r="C26" s="256" t="s">
        <v>73</v>
      </c>
      <c r="D26" s="256" t="s">
        <v>74</v>
      </c>
      <c r="E26" s="256" t="s">
        <v>74</v>
      </c>
      <c r="F26" s="256" t="s">
        <v>144</v>
      </c>
      <c r="G26" s="158" t="s">
        <v>86</v>
      </c>
      <c r="H26" s="288" t="s">
        <v>117</v>
      </c>
      <c r="I26" s="30">
        <v>60</v>
      </c>
      <c r="J26" s="31">
        <v>201725066</v>
      </c>
      <c r="K26" s="344">
        <f>36+12</f>
        <v>48</v>
      </c>
      <c r="L26" s="148">
        <f>95000000+23010000</f>
        <v>118010000</v>
      </c>
      <c r="M26" s="33">
        <v>12</v>
      </c>
      <c r="N26" s="59">
        <v>31400000</v>
      </c>
      <c r="O26" s="181">
        <v>3</v>
      </c>
      <c r="P26" s="282">
        <v>0</v>
      </c>
      <c r="Q26" s="422"/>
      <c r="R26" s="423"/>
      <c r="S26" s="154"/>
      <c r="T26" s="148"/>
      <c r="U26" s="154"/>
      <c r="V26" s="148"/>
      <c r="W26" s="153">
        <f>O26+Q26+S26+U26</f>
        <v>3</v>
      </c>
      <c r="X26" s="148">
        <f>SUM(P26+R26+T26+V26)</f>
        <v>0</v>
      </c>
      <c r="Y26" s="38">
        <f t="shared" si="4"/>
        <v>25</v>
      </c>
      <c r="Z26" s="39">
        <f t="shared" si="4"/>
        <v>0</v>
      </c>
      <c r="AA26" s="338">
        <f t="shared" si="6"/>
        <v>51</v>
      </c>
      <c r="AB26" s="148">
        <f t="shared" si="6"/>
        <v>118010000</v>
      </c>
      <c r="AC26" s="143">
        <f>SUM(AA26/I26*100)</f>
        <v>85</v>
      </c>
      <c r="AD26" s="149">
        <f>SUM(AB26/J26)*100</f>
        <v>58.500414618776233</v>
      </c>
      <c r="AE26" s="259" t="s">
        <v>281</v>
      </c>
      <c r="AF26" s="151"/>
      <c r="AG26" s="474"/>
      <c r="AH26" s="485"/>
      <c r="AI26" s="485"/>
    </row>
    <row r="27" spans="1:45" s="150" customFormat="1" ht="40.5" x14ac:dyDescent="0.25">
      <c r="A27" s="147"/>
      <c r="B27" s="256" t="s">
        <v>274</v>
      </c>
      <c r="C27" s="256" t="s">
        <v>73</v>
      </c>
      <c r="D27" s="256" t="s">
        <v>74</v>
      </c>
      <c r="E27" s="256" t="s">
        <v>74</v>
      </c>
      <c r="F27" s="256" t="s">
        <v>294</v>
      </c>
      <c r="G27" s="158" t="s">
        <v>295</v>
      </c>
      <c r="H27" s="288" t="s">
        <v>296</v>
      </c>
      <c r="I27" s="30">
        <v>15</v>
      </c>
      <c r="J27" s="31">
        <v>85290000</v>
      </c>
      <c r="K27" s="344">
        <f>0+3</f>
        <v>3</v>
      </c>
      <c r="L27" s="148">
        <f>0+17890000</f>
        <v>17890000</v>
      </c>
      <c r="M27" s="33">
        <v>12</v>
      </c>
      <c r="N27" s="59">
        <v>71640000</v>
      </c>
      <c r="O27" s="181">
        <v>3</v>
      </c>
      <c r="P27" s="282">
        <v>6080000</v>
      </c>
      <c r="Q27" s="422"/>
      <c r="R27" s="423"/>
      <c r="S27" s="154"/>
      <c r="T27" s="148"/>
      <c r="U27" s="154"/>
      <c r="V27" s="148"/>
      <c r="W27" s="153">
        <f>O27+Q27+S27+U27</f>
        <v>3</v>
      </c>
      <c r="X27" s="148">
        <f>SUM(P27+R27+T27+V27)</f>
        <v>6080000</v>
      </c>
      <c r="Y27" s="38">
        <f t="shared" si="4"/>
        <v>25</v>
      </c>
      <c r="Z27" s="39">
        <f t="shared" si="4"/>
        <v>8.4868788386376313</v>
      </c>
      <c r="AA27" s="338">
        <f t="shared" si="6"/>
        <v>6</v>
      </c>
      <c r="AB27" s="148">
        <f t="shared" si="6"/>
        <v>23970000</v>
      </c>
      <c r="AC27" s="143">
        <f>SUM(AA27/I27*100)</f>
        <v>40</v>
      </c>
      <c r="AD27" s="149">
        <f>SUM(AB27/J27)*100</f>
        <v>28.104115371086881</v>
      </c>
      <c r="AE27" s="259" t="s">
        <v>281</v>
      </c>
      <c r="AF27" s="151"/>
      <c r="AG27" s="474"/>
      <c r="AH27" s="485"/>
      <c r="AI27" s="485"/>
    </row>
    <row r="28" spans="1:45" s="150" customFormat="1" ht="40.5" x14ac:dyDescent="0.25">
      <c r="A28" s="147"/>
      <c r="B28" s="256" t="s">
        <v>286</v>
      </c>
      <c r="C28" s="256" t="s">
        <v>73</v>
      </c>
      <c r="D28" s="256" t="s">
        <v>74</v>
      </c>
      <c r="E28" s="256" t="s">
        <v>74</v>
      </c>
      <c r="F28" s="256" t="s">
        <v>90</v>
      </c>
      <c r="G28" s="158" t="s">
        <v>297</v>
      </c>
      <c r="H28" s="288" t="s">
        <v>298</v>
      </c>
      <c r="I28" s="30">
        <v>15</v>
      </c>
      <c r="J28" s="31">
        <v>98640000</v>
      </c>
      <c r="K28" s="344">
        <f>0+3</f>
        <v>3</v>
      </c>
      <c r="L28" s="148">
        <f>0+24967500</f>
        <v>24967500</v>
      </c>
      <c r="M28" s="33">
        <v>12</v>
      </c>
      <c r="N28" s="59">
        <v>76640000</v>
      </c>
      <c r="O28" s="181">
        <v>3</v>
      </c>
      <c r="P28" s="282">
        <v>5442500</v>
      </c>
      <c r="Q28" s="422"/>
      <c r="R28" s="423"/>
      <c r="S28" s="154"/>
      <c r="T28" s="148"/>
      <c r="U28" s="154"/>
      <c r="V28" s="148"/>
      <c r="W28" s="153">
        <f>O28+Q28+S28+U28</f>
        <v>3</v>
      </c>
      <c r="X28" s="148">
        <f>SUM(P28+R28+T28+V28)</f>
        <v>5442500</v>
      </c>
      <c r="Y28" s="38">
        <f t="shared" si="4"/>
        <v>25</v>
      </c>
      <c r="Z28" s="39">
        <f t="shared" si="4"/>
        <v>7.1013830897703549</v>
      </c>
      <c r="AA28" s="338">
        <f t="shared" si="6"/>
        <v>6</v>
      </c>
      <c r="AB28" s="148">
        <f t="shared" si="6"/>
        <v>30410000</v>
      </c>
      <c r="AC28" s="143">
        <f>SUM(AA28/I28*100)</f>
        <v>40</v>
      </c>
      <c r="AD28" s="149">
        <f>SUM(AB28/J28)*100</f>
        <v>30.829278183292779</v>
      </c>
      <c r="AE28" s="259" t="s">
        <v>281</v>
      </c>
      <c r="AF28" s="151"/>
      <c r="AG28" s="474"/>
      <c r="AH28" s="485"/>
      <c r="AI28" s="485"/>
    </row>
    <row r="29" spans="1:45" ht="54" x14ac:dyDescent="0.25">
      <c r="A29" s="26"/>
      <c r="B29" s="52" t="s">
        <v>139</v>
      </c>
      <c r="C29" s="52" t="s">
        <v>73</v>
      </c>
      <c r="D29" s="52" t="s">
        <v>74</v>
      </c>
      <c r="E29" s="52" t="s">
        <v>75</v>
      </c>
      <c r="F29" s="52"/>
      <c r="G29" s="161" t="s">
        <v>16</v>
      </c>
      <c r="H29" s="155" t="s">
        <v>245</v>
      </c>
      <c r="I29" s="17">
        <v>60</v>
      </c>
      <c r="J29" s="156">
        <f>SUM(J30:J39)</f>
        <v>22925108768.5</v>
      </c>
      <c r="K29" s="342">
        <f>36+12</f>
        <v>48</v>
      </c>
      <c r="L29" s="18">
        <v>8639469294</v>
      </c>
      <c r="M29" s="17">
        <v>12</v>
      </c>
      <c r="N29" s="18">
        <f>SUM(N30:N39)</f>
        <v>3281636000</v>
      </c>
      <c r="O29" s="53">
        <v>3</v>
      </c>
      <c r="P29" s="54">
        <f>SUM(P30:P39)</f>
        <v>117377725</v>
      </c>
      <c r="Q29" s="53">
        <v>3</v>
      </c>
      <c r="R29" s="54">
        <f>SUM(R32:R38)</f>
        <v>0</v>
      </c>
      <c r="S29" s="21">
        <v>3</v>
      </c>
      <c r="T29" s="18">
        <f>SUM(T30:T39)</f>
        <v>0</v>
      </c>
      <c r="U29" s="22">
        <v>3</v>
      </c>
      <c r="V29" s="54">
        <f>SUM(V30:V39)</f>
        <v>0</v>
      </c>
      <c r="W29" s="20">
        <f t="shared" si="3"/>
        <v>12</v>
      </c>
      <c r="X29" s="18">
        <f t="shared" si="0"/>
        <v>117377725</v>
      </c>
      <c r="Y29" s="23">
        <f t="shared" si="4"/>
        <v>100</v>
      </c>
      <c r="Z29" s="24">
        <f t="shared" si="4"/>
        <v>3.5768051362186424</v>
      </c>
      <c r="AA29" s="370">
        <f t="shared" si="6"/>
        <v>60</v>
      </c>
      <c r="AB29" s="54">
        <f t="shared" si="1"/>
        <v>8756847019</v>
      </c>
      <c r="AC29" s="78">
        <f t="shared" si="7"/>
        <v>100</v>
      </c>
      <c r="AD29" s="24">
        <f t="shared" si="2"/>
        <v>38.197624741620643</v>
      </c>
      <c r="AE29" s="25" t="s">
        <v>281</v>
      </c>
      <c r="AF29" s="56"/>
      <c r="AG29" s="475"/>
      <c r="AH29" s="487"/>
      <c r="AI29" s="487"/>
    </row>
    <row r="30" spans="1:45" s="146" customFormat="1" ht="27" x14ac:dyDescent="0.25">
      <c r="A30" s="144"/>
      <c r="B30" s="27" t="s">
        <v>139</v>
      </c>
      <c r="C30" s="27" t="s">
        <v>73</v>
      </c>
      <c r="D30" s="27" t="s">
        <v>74</v>
      </c>
      <c r="E30" s="27" t="s">
        <v>75</v>
      </c>
      <c r="F30" s="277" t="s">
        <v>73</v>
      </c>
      <c r="G30" s="100" t="s">
        <v>87</v>
      </c>
      <c r="H30" s="278" t="s">
        <v>118</v>
      </c>
      <c r="I30" s="103">
        <v>25</v>
      </c>
      <c r="J30" s="279">
        <v>4019937760</v>
      </c>
      <c r="K30" s="345">
        <f>15+5</f>
        <v>20</v>
      </c>
      <c r="L30" s="170">
        <f>1202534784+145500000</f>
        <v>1348034784</v>
      </c>
      <c r="M30" s="496">
        <v>0</v>
      </c>
      <c r="N30" s="280">
        <v>0</v>
      </c>
      <c r="O30" s="424"/>
      <c r="P30" s="430"/>
      <c r="Q30" s="424"/>
      <c r="R30" s="444"/>
      <c r="S30" s="281"/>
      <c r="T30" s="170"/>
      <c r="U30" s="86"/>
      <c r="V30" s="170"/>
      <c r="W30" s="153">
        <f t="shared" si="3"/>
        <v>0</v>
      </c>
      <c r="X30" s="148">
        <f t="shared" si="0"/>
        <v>0</v>
      </c>
      <c r="Y30" s="38" t="e">
        <f t="shared" si="4"/>
        <v>#DIV/0!</v>
      </c>
      <c r="Z30" s="39" t="e">
        <f t="shared" si="4"/>
        <v>#DIV/0!</v>
      </c>
      <c r="AA30" s="338">
        <f t="shared" si="6"/>
        <v>20</v>
      </c>
      <c r="AB30" s="148">
        <f t="shared" ref="AB30" si="8">SUM(L30+X30)</f>
        <v>1348034784</v>
      </c>
      <c r="AC30" s="143">
        <f>SUM(AA30/I30*100)</f>
        <v>80</v>
      </c>
      <c r="AD30" s="149">
        <f>SUM(AB30/J30)*100</f>
        <v>33.533722770871954</v>
      </c>
      <c r="AE30" s="160" t="s">
        <v>281</v>
      </c>
      <c r="AF30" s="145"/>
      <c r="AG30" s="476"/>
      <c r="AH30" s="486"/>
      <c r="AI30" s="486"/>
    </row>
    <row r="31" spans="1:45" s="146" customFormat="1" ht="40.5" x14ac:dyDescent="0.25">
      <c r="A31" s="144"/>
      <c r="B31" s="27" t="s">
        <v>139</v>
      </c>
      <c r="C31" s="27" t="s">
        <v>73</v>
      </c>
      <c r="D31" s="27" t="s">
        <v>74</v>
      </c>
      <c r="E31" s="27" t="s">
        <v>75</v>
      </c>
      <c r="F31" s="277" t="s">
        <v>88</v>
      </c>
      <c r="G31" s="100" t="s">
        <v>17</v>
      </c>
      <c r="H31" s="278" t="s">
        <v>119</v>
      </c>
      <c r="I31" s="103">
        <v>222</v>
      </c>
      <c r="J31" s="284">
        <v>733503730</v>
      </c>
      <c r="K31" s="345">
        <f>78+0</f>
        <v>78</v>
      </c>
      <c r="L31" s="170">
        <f>225081000+0</f>
        <v>225081000</v>
      </c>
      <c r="M31" s="157">
        <v>12</v>
      </c>
      <c r="N31" s="280">
        <v>318296000</v>
      </c>
      <c r="O31" s="424">
        <v>3</v>
      </c>
      <c r="P31" s="170">
        <v>0</v>
      </c>
      <c r="Q31" s="424"/>
      <c r="R31" s="170"/>
      <c r="S31" s="285"/>
      <c r="T31" s="170"/>
      <c r="U31" s="103"/>
      <c r="V31" s="170"/>
      <c r="W31" s="153">
        <f t="shared" si="3"/>
        <v>3</v>
      </c>
      <c r="X31" s="148">
        <f t="shared" si="0"/>
        <v>0</v>
      </c>
      <c r="Y31" s="38">
        <f t="shared" si="4"/>
        <v>25</v>
      </c>
      <c r="Z31" s="275">
        <v>0</v>
      </c>
      <c r="AA31" s="338">
        <f t="shared" si="6"/>
        <v>81</v>
      </c>
      <c r="AB31" s="282">
        <f t="shared" si="1"/>
        <v>225081000</v>
      </c>
      <c r="AC31" s="143">
        <f t="shared" si="7"/>
        <v>36.486486486486484</v>
      </c>
      <c r="AD31" s="283">
        <f t="shared" si="2"/>
        <v>30.685733527217373</v>
      </c>
      <c r="AE31" s="160" t="s">
        <v>281</v>
      </c>
      <c r="AF31" s="145"/>
      <c r="AG31" s="476"/>
      <c r="AH31" s="486"/>
      <c r="AI31" s="486"/>
      <c r="AS31" s="146">
        <f>797/8</f>
        <v>99.625</v>
      </c>
    </row>
    <row r="32" spans="1:45" ht="43.5" customHeight="1" x14ac:dyDescent="0.25">
      <c r="A32" s="26"/>
      <c r="B32" s="27" t="s">
        <v>139</v>
      </c>
      <c r="C32" s="27" t="s">
        <v>73</v>
      </c>
      <c r="D32" s="27" t="s">
        <v>74</v>
      </c>
      <c r="E32" s="27" t="s">
        <v>75</v>
      </c>
      <c r="F32" s="27" t="s">
        <v>89</v>
      </c>
      <c r="G32" s="28" t="s">
        <v>18</v>
      </c>
      <c r="H32" s="288" t="s">
        <v>120</v>
      </c>
      <c r="I32" s="51">
        <v>667</v>
      </c>
      <c r="J32" s="63">
        <v>6955375592</v>
      </c>
      <c r="K32" s="346">
        <f>252+94</f>
        <v>346</v>
      </c>
      <c r="L32" s="61">
        <f>2336260000+1026390390</f>
        <v>3362650390</v>
      </c>
      <c r="M32" s="33">
        <v>104</v>
      </c>
      <c r="N32" s="59">
        <v>1068800000</v>
      </c>
      <c r="O32" s="424">
        <v>0</v>
      </c>
      <c r="P32" s="425">
        <v>0</v>
      </c>
      <c r="Q32" s="103"/>
      <c r="R32" s="170"/>
      <c r="S32" s="64"/>
      <c r="T32" s="61"/>
      <c r="U32" s="61"/>
      <c r="V32" s="61"/>
      <c r="W32" s="153">
        <f t="shared" si="3"/>
        <v>0</v>
      </c>
      <c r="X32" s="148">
        <f t="shared" si="0"/>
        <v>0</v>
      </c>
      <c r="Y32" s="38">
        <f t="shared" si="4"/>
        <v>0</v>
      </c>
      <c r="Z32" s="159">
        <f t="shared" si="4"/>
        <v>0</v>
      </c>
      <c r="AA32" s="338">
        <f t="shared" si="6"/>
        <v>346</v>
      </c>
      <c r="AB32" s="32">
        <f t="shared" si="1"/>
        <v>3362650390</v>
      </c>
      <c r="AC32" s="143">
        <f t="shared" si="7"/>
        <v>51.874062968515744</v>
      </c>
      <c r="AD32" s="159">
        <f t="shared" si="2"/>
        <v>48.34606478861739</v>
      </c>
      <c r="AE32" s="160" t="s">
        <v>281</v>
      </c>
      <c r="AF32" s="41"/>
      <c r="AG32" s="472"/>
      <c r="AH32" s="484"/>
      <c r="AI32" s="484"/>
    </row>
    <row r="33" spans="1:35" ht="32.25" customHeight="1" x14ac:dyDescent="0.25">
      <c r="A33" s="26"/>
      <c r="B33" s="27" t="s">
        <v>139</v>
      </c>
      <c r="C33" s="27" t="s">
        <v>73</v>
      </c>
      <c r="D33" s="27" t="s">
        <v>74</v>
      </c>
      <c r="E33" s="27" t="s">
        <v>75</v>
      </c>
      <c r="F33" s="27" t="s">
        <v>78</v>
      </c>
      <c r="G33" s="28" t="s">
        <v>19</v>
      </c>
      <c r="H33" s="288" t="s">
        <v>121</v>
      </c>
      <c r="I33" s="51">
        <v>183</v>
      </c>
      <c r="J33" s="63">
        <v>1018147527</v>
      </c>
      <c r="K33" s="346">
        <f>85+4</f>
        <v>89</v>
      </c>
      <c r="L33" s="61">
        <f>374275800+130009500</f>
        <v>504285300</v>
      </c>
      <c r="M33" s="33">
        <v>12</v>
      </c>
      <c r="N33" s="59">
        <v>190800000</v>
      </c>
      <c r="O33" s="86">
        <v>3</v>
      </c>
      <c r="P33" s="170">
        <v>0</v>
      </c>
      <c r="Q33" s="86"/>
      <c r="R33" s="170"/>
      <c r="S33" s="60"/>
      <c r="T33" s="61"/>
      <c r="U33" s="61"/>
      <c r="V33" s="61"/>
      <c r="W33" s="153">
        <f t="shared" si="3"/>
        <v>3</v>
      </c>
      <c r="X33" s="148">
        <f t="shared" si="0"/>
        <v>0</v>
      </c>
      <c r="Y33" s="38">
        <f t="shared" si="4"/>
        <v>25</v>
      </c>
      <c r="Z33" s="39">
        <f t="shared" si="4"/>
        <v>0</v>
      </c>
      <c r="AA33" s="338">
        <f t="shared" si="6"/>
        <v>92</v>
      </c>
      <c r="AB33" s="36">
        <f t="shared" si="1"/>
        <v>504285300</v>
      </c>
      <c r="AC33" s="143">
        <f t="shared" si="7"/>
        <v>50.27322404371585</v>
      </c>
      <c r="AD33" s="39">
        <f t="shared" si="2"/>
        <v>49.529688638137806</v>
      </c>
      <c r="AE33" s="160" t="s">
        <v>281</v>
      </c>
      <c r="AF33" s="41"/>
      <c r="AG33" s="472"/>
      <c r="AH33" s="484"/>
      <c r="AI33" s="484"/>
    </row>
    <row r="34" spans="1:35" ht="27" x14ac:dyDescent="0.25">
      <c r="A34" s="26"/>
      <c r="B34" s="27" t="s">
        <v>139</v>
      </c>
      <c r="C34" s="27" t="s">
        <v>73</v>
      </c>
      <c r="D34" s="27" t="s">
        <v>74</v>
      </c>
      <c r="E34" s="27" t="s">
        <v>75</v>
      </c>
      <c r="F34" s="27" t="s">
        <v>79</v>
      </c>
      <c r="G34" s="65" t="s">
        <v>20</v>
      </c>
      <c r="H34" s="28" t="s">
        <v>163</v>
      </c>
      <c r="I34" s="51">
        <v>17</v>
      </c>
      <c r="J34" s="43">
        <v>708600000</v>
      </c>
      <c r="K34" s="347">
        <f>8+12</f>
        <v>20</v>
      </c>
      <c r="L34" s="67">
        <f>411086000+99080000</f>
        <v>510166000</v>
      </c>
      <c r="M34" s="33">
        <v>12</v>
      </c>
      <c r="N34" s="59">
        <v>326040000</v>
      </c>
      <c r="O34" s="426">
        <v>3</v>
      </c>
      <c r="P34" s="427">
        <v>0</v>
      </c>
      <c r="Q34" s="86"/>
      <c r="R34" s="425"/>
      <c r="S34" s="60"/>
      <c r="T34" s="67"/>
      <c r="U34" s="60"/>
      <c r="V34" s="67"/>
      <c r="W34" s="153">
        <f t="shared" si="3"/>
        <v>3</v>
      </c>
      <c r="X34" s="148">
        <f t="shared" si="0"/>
        <v>0</v>
      </c>
      <c r="Y34" s="38">
        <f>SUM(W34/M34*100)</f>
        <v>25</v>
      </c>
      <c r="Z34" s="39">
        <f t="shared" si="4"/>
        <v>0</v>
      </c>
      <c r="AA34" s="338">
        <f t="shared" si="6"/>
        <v>23</v>
      </c>
      <c r="AB34" s="36">
        <f t="shared" si="1"/>
        <v>510166000</v>
      </c>
      <c r="AC34" s="143">
        <f t="shared" si="7"/>
        <v>135.29411764705884</v>
      </c>
      <c r="AD34" s="39">
        <f t="shared" si="2"/>
        <v>71.996330793113188</v>
      </c>
      <c r="AE34" s="160" t="s">
        <v>281</v>
      </c>
      <c r="AF34" s="41"/>
      <c r="AG34" s="472"/>
      <c r="AH34" s="484"/>
      <c r="AI34" s="484"/>
    </row>
    <row r="35" spans="1:35" ht="45" customHeight="1" x14ac:dyDescent="0.25">
      <c r="A35" s="26"/>
      <c r="B35" s="27" t="s">
        <v>139</v>
      </c>
      <c r="C35" s="27" t="s">
        <v>73</v>
      </c>
      <c r="D35" s="27" t="s">
        <v>74</v>
      </c>
      <c r="E35" s="27" t="s">
        <v>75</v>
      </c>
      <c r="F35" s="27" t="s">
        <v>90</v>
      </c>
      <c r="G35" s="28" t="s">
        <v>21</v>
      </c>
      <c r="H35" s="288" t="s">
        <v>122</v>
      </c>
      <c r="I35" s="51">
        <v>23</v>
      </c>
      <c r="J35" s="63">
        <v>1990018396</v>
      </c>
      <c r="K35" s="347">
        <f>9+3</f>
        <v>12</v>
      </c>
      <c r="L35" s="61">
        <f>776780265+305748079</f>
        <v>1082528344</v>
      </c>
      <c r="M35" s="33">
        <v>12</v>
      </c>
      <c r="N35" s="59">
        <v>151500000</v>
      </c>
      <c r="O35" s="426">
        <v>3</v>
      </c>
      <c r="P35" s="261">
        <v>0</v>
      </c>
      <c r="Q35" s="86"/>
      <c r="R35" s="170"/>
      <c r="S35" s="60"/>
      <c r="T35" s="61"/>
      <c r="U35" s="62"/>
      <c r="V35" s="61"/>
      <c r="W35" s="153">
        <f t="shared" si="3"/>
        <v>3</v>
      </c>
      <c r="X35" s="148">
        <f t="shared" si="0"/>
        <v>0</v>
      </c>
      <c r="Y35" s="38">
        <f t="shared" si="4"/>
        <v>25</v>
      </c>
      <c r="Z35" s="39">
        <f t="shared" si="4"/>
        <v>0</v>
      </c>
      <c r="AA35" s="338">
        <f t="shared" si="6"/>
        <v>15</v>
      </c>
      <c r="AB35" s="36">
        <f t="shared" si="1"/>
        <v>1082528344</v>
      </c>
      <c r="AC35" s="143">
        <f t="shared" si="7"/>
        <v>65.217391304347828</v>
      </c>
      <c r="AD35" s="39">
        <f t="shared" si="2"/>
        <v>54.397906379956908</v>
      </c>
      <c r="AE35" s="160" t="s">
        <v>281</v>
      </c>
      <c r="AF35" s="41"/>
      <c r="AG35" s="472"/>
      <c r="AH35" s="484"/>
      <c r="AI35" s="484"/>
    </row>
    <row r="36" spans="1:35" ht="59.25" customHeight="1" x14ac:dyDescent="0.25">
      <c r="A36" s="26"/>
      <c r="B36" s="27" t="s">
        <v>139</v>
      </c>
      <c r="C36" s="27" t="s">
        <v>73</v>
      </c>
      <c r="D36" s="27" t="s">
        <v>74</v>
      </c>
      <c r="E36" s="27" t="s">
        <v>75</v>
      </c>
      <c r="F36" s="27" t="s">
        <v>91</v>
      </c>
      <c r="G36" s="158" t="s">
        <v>22</v>
      </c>
      <c r="H36" s="288" t="s">
        <v>123</v>
      </c>
      <c r="I36" s="51">
        <v>279</v>
      </c>
      <c r="J36" s="63">
        <v>4827363621</v>
      </c>
      <c r="K36" s="347">
        <f>149+53</f>
        <v>202</v>
      </c>
      <c r="L36" s="61">
        <f>2280517795+915010716</f>
        <v>3195528511</v>
      </c>
      <c r="M36" s="92" t="s">
        <v>399</v>
      </c>
      <c r="N36" s="59">
        <v>1030500000</v>
      </c>
      <c r="O36" s="426"/>
      <c r="P36" s="261">
        <v>75032725</v>
      </c>
      <c r="Q36" s="86"/>
      <c r="R36" s="170"/>
      <c r="S36" s="62"/>
      <c r="T36" s="61"/>
      <c r="U36" s="62"/>
      <c r="V36" s="61"/>
      <c r="W36" s="153">
        <f t="shared" si="3"/>
        <v>0</v>
      </c>
      <c r="X36" s="148">
        <f t="shared" si="0"/>
        <v>75032725</v>
      </c>
      <c r="Y36" s="38" t="e">
        <f t="shared" si="4"/>
        <v>#VALUE!</v>
      </c>
      <c r="Z36" s="39">
        <f t="shared" si="4"/>
        <v>7.28119602134886</v>
      </c>
      <c r="AA36" s="338">
        <f t="shared" si="6"/>
        <v>202</v>
      </c>
      <c r="AB36" s="36">
        <f t="shared" si="1"/>
        <v>3270561236</v>
      </c>
      <c r="AC36" s="143">
        <f t="shared" si="7"/>
        <v>72.401433691756267</v>
      </c>
      <c r="AD36" s="39">
        <f t="shared" si="2"/>
        <v>67.750463664522869</v>
      </c>
      <c r="AE36" s="160" t="s">
        <v>281</v>
      </c>
      <c r="AF36" s="41"/>
      <c r="AG36" s="472"/>
      <c r="AH36" s="484"/>
      <c r="AI36" s="484"/>
    </row>
    <row r="37" spans="1:35" ht="57" customHeight="1" x14ac:dyDescent="0.25">
      <c r="A37" s="26"/>
      <c r="B37" s="27" t="s">
        <v>139</v>
      </c>
      <c r="C37" s="27" t="s">
        <v>73</v>
      </c>
      <c r="D37" s="27" t="s">
        <v>74</v>
      </c>
      <c r="E37" s="27" t="s">
        <v>75</v>
      </c>
      <c r="F37" s="27" t="s">
        <v>92</v>
      </c>
      <c r="G37" s="158" t="s">
        <v>23</v>
      </c>
      <c r="H37" s="288" t="s">
        <v>124</v>
      </c>
      <c r="I37" s="51">
        <v>560</v>
      </c>
      <c r="J37" s="63">
        <v>979924850</v>
      </c>
      <c r="K37" s="346">
        <f>248+20</f>
        <v>268</v>
      </c>
      <c r="L37" s="61">
        <f>389984700+123525000</f>
        <v>513509700</v>
      </c>
      <c r="M37" s="33">
        <v>12</v>
      </c>
      <c r="N37" s="59">
        <v>96500000</v>
      </c>
      <c r="O37" s="424">
        <v>3</v>
      </c>
      <c r="P37" s="425">
        <v>0</v>
      </c>
      <c r="Q37" s="86"/>
      <c r="R37" s="170"/>
      <c r="S37" s="274"/>
      <c r="T37" s="58"/>
      <c r="U37" s="66"/>
      <c r="V37" s="58"/>
      <c r="W37" s="153">
        <f t="shared" si="3"/>
        <v>3</v>
      </c>
      <c r="X37" s="148">
        <f t="shared" si="0"/>
        <v>0</v>
      </c>
      <c r="Y37" s="38">
        <f t="shared" si="4"/>
        <v>25</v>
      </c>
      <c r="Z37" s="39">
        <f t="shared" si="4"/>
        <v>0</v>
      </c>
      <c r="AA37" s="338">
        <f t="shared" si="6"/>
        <v>271</v>
      </c>
      <c r="AB37" s="36">
        <f t="shared" si="1"/>
        <v>513509700</v>
      </c>
      <c r="AC37" s="143">
        <f t="shared" si="7"/>
        <v>48.392857142857146</v>
      </c>
      <c r="AD37" s="39">
        <f>SUM(AB37/J37)*100</f>
        <v>52.402967431635197</v>
      </c>
      <c r="AE37" s="160" t="s">
        <v>281</v>
      </c>
      <c r="AF37" s="41"/>
      <c r="AG37" s="472"/>
      <c r="AH37" s="484"/>
      <c r="AI37" s="484"/>
    </row>
    <row r="38" spans="1:35" ht="40.5" x14ac:dyDescent="0.25">
      <c r="A38" s="26"/>
      <c r="B38" s="27" t="s">
        <v>139</v>
      </c>
      <c r="C38" s="27" t="s">
        <v>73</v>
      </c>
      <c r="D38" s="27" t="s">
        <v>74</v>
      </c>
      <c r="E38" s="27" t="s">
        <v>75</v>
      </c>
      <c r="F38" s="27" t="s">
        <v>170</v>
      </c>
      <c r="G38" s="28" t="s">
        <v>171</v>
      </c>
      <c r="H38" s="288" t="s">
        <v>172</v>
      </c>
      <c r="I38" s="51">
        <v>48</v>
      </c>
      <c r="J38" s="63">
        <v>232050000</v>
      </c>
      <c r="K38" s="348">
        <f>18+224</f>
        <v>242</v>
      </c>
      <c r="L38" s="67">
        <f>337444750+399587500</f>
        <v>737032250</v>
      </c>
      <c r="M38" s="33">
        <v>12</v>
      </c>
      <c r="N38" s="59">
        <v>99200000</v>
      </c>
      <c r="O38" s="428">
        <v>3</v>
      </c>
      <c r="P38" s="170">
        <v>42345000</v>
      </c>
      <c r="Q38" s="86"/>
      <c r="R38" s="170"/>
      <c r="S38" s="276"/>
      <c r="T38" s="58"/>
      <c r="U38" s="68"/>
      <c r="V38" s="58"/>
      <c r="W38" s="153">
        <f t="shared" si="3"/>
        <v>3</v>
      </c>
      <c r="X38" s="148">
        <f>SUM(P38+R38+T38+V38)</f>
        <v>42345000</v>
      </c>
      <c r="Y38" s="38">
        <f t="shared" si="4"/>
        <v>25</v>
      </c>
      <c r="Z38" s="39">
        <f t="shared" si="4"/>
        <v>42.686491935483872</v>
      </c>
      <c r="AA38" s="338">
        <f t="shared" si="6"/>
        <v>245</v>
      </c>
      <c r="AB38" s="36">
        <f t="shared" si="1"/>
        <v>779377250</v>
      </c>
      <c r="AC38" s="143">
        <f t="shared" si="7"/>
        <v>510.41666666666669</v>
      </c>
      <c r="AD38" s="39">
        <f t="shared" si="2"/>
        <v>335.86608489549667</v>
      </c>
      <c r="AE38" s="160" t="s">
        <v>281</v>
      </c>
      <c r="AF38" s="41"/>
      <c r="AG38" s="472"/>
      <c r="AH38" s="484"/>
      <c r="AI38" s="484"/>
    </row>
    <row r="39" spans="1:35" ht="40.5" hidden="1" x14ac:dyDescent="0.25">
      <c r="A39" s="26"/>
      <c r="B39" s="27" t="s">
        <v>139</v>
      </c>
      <c r="C39" s="27" t="s">
        <v>73</v>
      </c>
      <c r="D39" s="27" t="s">
        <v>74</v>
      </c>
      <c r="E39" s="27" t="s">
        <v>75</v>
      </c>
      <c r="F39" s="27">
        <v>42</v>
      </c>
      <c r="G39" s="28" t="s">
        <v>162</v>
      </c>
      <c r="H39" s="288" t="s">
        <v>125</v>
      </c>
      <c r="I39" s="51">
        <v>6</v>
      </c>
      <c r="J39" s="63">
        <v>1460187292.5</v>
      </c>
      <c r="K39" s="349">
        <v>1</v>
      </c>
      <c r="L39" s="58">
        <v>305504200</v>
      </c>
      <c r="M39" s="33">
        <v>0</v>
      </c>
      <c r="N39" s="59">
        <v>0</v>
      </c>
      <c r="O39" s="336">
        <v>0</v>
      </c>
      <c r="P39" s="398">
        <v>0</v>
      </c>
      <c r="Q39" s="401"/>
      <c r="R39" s="399"/>
      <c r="S39" s="274"/>
      <c r="T39" s="58"/>
      <c r="U39" s="33"/>
      <c r="V39" s="58"/>
      <c r="W39" s="153">
        <f t="shared" si="3"/>
        <v>0</v>
      </c>
      <c r="X39" s="148">
        <f t="shared" si="0"/>
        <v>0</v>
      </c>
      <c r="Y39" s="38" t="e">
        <f t="shared" si="4"/>
        <v>#DIV/0!</v>
      </c>
      <c r="Z39" s="39"/>
      <c r="AA39" s="338">
        <f t="shared" si="6"/>
        <v>1</v>
      </c>
      <c r="AB39" s="36">
        <f t="shared" si="1"/>
        <v>305504200</v>
      </c>
      <c r="AC39" s="143">
        <f t="shared" si="7"/>
        <v>16.666666666666664</v>
      </c>
      <c r="AD39" s="39">
        <f>SUM(AB39/J39)*100</f>
        <v>20.922261244784799</v>
      </c>
      <c r="AE39" s="160" t="s">
        <v>281</v>
      </c>
      <c r="AF39" s="41"/>
      <c r="AG39" s="472"/>
      <c r="AH39" s="484"/>
      <c r="AI39" s="484"/>
    </row>
    <row r="40" spans="1:35" ht="40.5" x14ac:dyDescent="0.25">
      <c r="A40" s="26"/>
      <c r="B40" s="14" t="s">
        <v>139</v>
      </c>
      <c r="C40" s="14" t="s">
        <v>73</v>
      </c>
      <c r="D40" s="14" t="s">
        <v>74</v>
      </c>
      <c r="E40" s="14" t="s">
        <v>94</v>
      </c>
      <c r="F40" s="15"/>
      <c r="G40" s="161" t="s">
        <v>24</v>
      </c>
      <c r="H40" s="161" t="s">
        <v>244</v>
      </c>
      <c r="I40" s="222">
        <f>SUM(I41:I42)</f>
        <v>1240</v>
      </c>
      <c r="J40" s="183">
        <f>SUM(J41:J42)</f>
        <v>1290584560</v>
      </c>
      <c r="K40" s="222">
        <f>SUM(K41:K42)</f>
        <v>588</v>
      </c>
      <c r="L40" s="75">
        <f>SUM(L41:L42)</f>
        <v>203826000</v>
      </c>
      <c r="M40" s="222">
        <f>SUM(M41:M42)</f>
        <v>156</v>
      </c>
      <c r="N40" s="75">
        <f>N41+N42</f>
        <v>103000000</v>
      </c>
      <c r="O40" s="433">
        <v>0</v>
      </c>
      <c r="P40" s="54">
        <f>SUM(P42:P43)</f>
        <v>0</v>
      </c>
      <c r="Q40" s="434">
        <v>0</v>
      </c>
      <c r="R40" s="54">
        <v>0</v>
      </c>
      <c r="S40" s="175">
        <v>0</v>
      </c>
      <c r="T40" s="18">
        <v>0</v>
      </c>
      <c r="U40" s="76">
        <v>70</v>
      </c>
      <c r="V40" s="75">
        <f>V41+V42</f>
        <v>0</v>
      </c>
      <c r="W40" s="319">
        <f t="shared" si="3"/>
        <v>70</v>
      </c>
      <c r="X40" s="320">
        <f t="shared" si="0"/>
        <v>0</v>
      </c>
      <c r="Y40" s="23">
        <f t="shared" si="4"/>
        <v>44.871794871794876</v>
      </c>
      <c r="Z40" s="77">
        <f t="shared" si="4"/>
        <v>0</v>
      </c>
      <c r="AA40" s="370">
        <f t="shared" si="6"/>
        <v>658</v>
      </c>
      <c r="AB40" s="18">
        <f t="shared" si="1"/>
        <v>203826000</v>
      </c>
      <c r="AC40" s="78">
        <f t="shared" si="7"/>
        <v>53.064516129032256</v>
      </c>
      <c r="AD40" s="77">
        <f t="shared" si="2"/>
        <v>15.793308421417965</v>
      </c>
      <c r="AE40" s="25" t="s">
        <v>281</v>
      </c>
      <c r="AF40" s="56"/>
      <c r="AG40" s="475"/>
      <c r="AH40" s="484"/>
      <c r="AI40" s="484"/>
    </row>
    <row r="41" spans="1:35" s="150" customFormat="1" ht="55.5" customHeight="1" x14ac:dyDescent="0.25">
      <c r="A41" s="147"/>
      <c r="B41" s="27" t="s">
        <v>139</v>
      </c>
      <c r="C41" s="27" t="s">
        <v>73</v>
      </c>
      <c r="D41" s="27" t="s">
        <v>74</v>
      </c>
      <c r="E41" s="27" t="s">
        <v>94</v>
      </c>
      <c r="F41" s="27" t="s">
        <v>75</v>
      </c>
      <c r="G41" s="158" t="s">
        <v>262</v>
      </c>
      <c r="H41" s="28" t="s">
        <v>263</v>
      </c>
      <c r="I41" s="33">
        <v>850</v>
      </c>
      <c r="J41" s="79">
        <v>860284560</v>
      </c>
      <c r="K41" s="351">
        <f>438+0</f>
        <v>438</v>
      </c>
      <c r="L41" s="148">
        <f>140231000+0</f>
        <v>140231000</v>
      </c>
      <c r="M41" s="371">
        <v>78</v>
      </c>
      <c r="N41" s="179">
        <v>71000000</v>
      </c>
      <c r="O41" s="429">
        <v>0</v>
      </c>
      <c r="P41" s="430">
        <v>0</v>
      </c>
      <c r="Q41" s="432"/>
      <c r="R41" s="430"/>
      <c r="S41" s="178"/>
      <c r="T41" s="177"/>
      <c r="U41" s="180"/>
      <c r="V41" s="179"/>
      <c r="W41" s="153">
        <f t="shared" si="3"/>
        <v>0</v>
      </c>
      <c r="X41" s="148">
        <f t="shared" si="0"/>
        <v>0</v>
      </c>
      <c r="Y41" s="38">
        <f t="shared" si="4"/>
        <v>0</v>
      </c>
      <c r="Z41" s="39">
        <f t="shared" si="4"/>
        <v>0</v>
      </c>
      <c r="AA41" s="338">
        <f t="shared" si="6"/>
        <v>438</v>
      </c>
      <c r="AB41" s="36">
        <f>SUM(L41+X41)</f>
        <v>140231000</v>
      </c>
      <c r="AC41" s="143">
        <f t="shared" si="7"/>
        <v>51.529411764705877</v>
      </c>
      <c r="AD41" s="39">
        <f>SUM(AB41/J41)*100</f>
        <v>16.300536650338117</v>
      </c>
      <c r="AE41" s="160" t="s">
        <v>281</v>
      </c>
      <c r="AF41" s="147"/>
      <c r="AG41" s="477"/>
      <c r="AH41" s="485"/>
      <c r="AI41" s="485"/>
    </row>
    <row r="42" spans="1:35" s="163" customFormat="1" ht="27" x14ac:dyDescent="0.25">
      <c r="A42" s="162"/>
      <c r="B42" s="27" t="s">
        <v>139</v>
      </c>
      <c r="C42" s="27" t="s">
        <v>73</v>
      </c>
      <c r="D42" s="27" t="s">
        <v>74</v>
      </c>
      <c r="E42" s="27" t="s">
        <v>94</v>
      </c>
      <c r="F42" s="27" t="s">
        <v>73</v>
      </c>
      <c r="G42" s="28" t="s">
        <v>95</v>
      </c>
      <c r="H42" s="28" t="s">
        <v>181</v>
      </c>
      <c r="I42" s="33">
        <v>390</v>
      </c>
      <c r="J42" s="79">
        <v>430300000</v>
      </c>
      <c r="K42" s="343">
        <f>80+70</f>
        <v>150</v>
      </c>
      <c r="L42" s="148">
        <f>29645000+33950000</f>
        <v>63595000</v>
      </c>
      <c r="M42" s="33">
        <v>78</v>
      </c>
      <c r="N42" s="59">
        <v>32000000</v>
      </c>
      <c r="O42" s="431">
        <v>0</v>
      </c>
      <c r="P42" s="423">
        <v>0</v>
      </c>
      <c r="Q42" s="422"/>
      <c r="R42" s="282"/>
      <c r="S42" s="173"/>
      <c r="T42" s="32"/>
      <c r="U42" s="50"/>
      <c r="V42" s="32"/>
      <c r="W42" s="153">
        <f t="shared" si="3"/>
        <v>0</v>
      </c>
      <c r="X42" s="148">
        <f>SUM(P42+R42+T42+V42)</f>
        <v>0</v>
      </c>
      <c r="Y42" s="38">
        <f t="shared" si="4"/>
        <v>0</v>
      </c>
      <c r="Z42" s="39">
        <f t="shared" si="4"/>
        <v>0</v>
      </c>
      <c r="AA42" s="338">
        <f t="shared" si="6"/>
        <v>150</v>
      </c>
      <c r="AB42" s="36">
        <f t="shared" si="1"/>
        <v>63595000</v>
      </c>
      <c r="AC42" s="143">
        <f t="shared" si="7"/>
        <v>38.461538461538467</v>
      </c>
      <c r="AD42" s="39">
        <f t="shared" si="2"/>
        <v>14.779223797350685</v>
      </c>
      <c r="AE42" s="160" t="s">
        <v>281</v>
      </c>
      <c r="AF42" s="65"/>
      <c r="AG42" s="478"/>
      <c r="AH42" s="486"/>
      <c r="AI42" s="486"/>
    </row>
    <row r="43" spans="1:35" ht="54" hidden="1" x14ac:dyDescent="0.25">
      <c r="A43" s="26"/>
      <c r="B43" s="27"/>
      <c r="C43" s="27"/>
      <c r="D43" s="27" t="s">
        <v>74</v>
      </c>
      <c r="E43" s="27" t="s">
        <v>94</v>
      </c>
      <c r="F43" s="27" t="s">
        <v>96</v>
      </c>
      <c r="G43" s="28" t="s">
        <v>182</v>
      </c>
      <c r="H43" s="248" t="s">
        <v>251</v>
      </c>
      <c r="I43" s="51" t="s">
        <v>183</v>
      </c>
      <c r="J43" s="79">
        <v>430300000</v>
      </c>
      <c r="K43" s="352" t="s">
        <v>104</v>
      </c>
      <c r="L43" s="239" t="s">
        <v>104</v>
      </c>
      <c r="M43" s="331" t="s">
        <v>104</v>
      </c>
      <c r="N43" s="253" t="s">
        <v>104</v>
      </c>
      <c r="O43" s="171" t="s">
        <v>104</v>
      </c>
      <c r="P43" s="403">
        <v>0</v>
      </c>
      <c r="Q43" s="390"/>
      <c r="R43" s="397"/>
      <c r="S43" s="42"/>
      <c r="T43" s="36"/>
      <c r="U43" s="36"/>
      <c r="V43" s="36"/>
      <c r="W43" s="238" t="s">
        <v>104</v>
      </c>
      <c r="X43" s="236" t="s">
        <v>104</v>
      </c>
      <c r="Y43" s="80">
        <v>0</v>
      </c>
      <c r="Z43" s="159">
        <v>0</v>
      </c>
      <c r="AA43" s="45" t="s">
        <v>104</v>
      </c>
      <c r="AB43" s="36" t="s">
        <v>104</v>
      </c>
      <c r="AC43" s="80" t="s">
        <v>104</v>
      </c>
      <c r="AD43" s="39" t="s">
        <v>104</v>
      </c>
      <c r="AE43" s="25" t="s">
        <v>104</v>
      </c>
      <c r="AF43" s="81"/>
      <c r="AG43" s="479"/>
      <c r="AH43" s="484"/>
      <c r="AI43" s="484"/>
    </row>
    <row r="44" spans="1:35" ht="76.5" customHeight="1" x14ac:dyDescent="0.25">
      <c r="A44" s="26"/>
      <c r="B44" s="14" t="s">
        <v>139</v>
      </c>
      <c r="C44" s="14" t="s">
        <v>73</v>
      </c>
      <c r="D44" s="14" t="s">
        <v>74</v>
      </c>
      <c r="E44" s="14" t="s">
        <v>73</v>
      </c>
      <c r="F44" s="15"/>
      <c r="G44" s="161" t="s">
        <v>25</v>
      </c>
      <c r="H44" s="161" t="s">
        <v>265</v>
      </c>
      <c r="I44" s="223">
        <v>103</v>
      </c>
      <c r="J44" s="184">
        <f>SUM(J45:J46)</f>
        <v>4745616332</v>
      </c>
      <c r="K44" s="372">
        <v>57</v>
      </c>
      <c r="L44" s="82">
        <v>1327920970</v>
      </c>
      <c r="M44" s="53">
        <f>M45+M46</f>
        <v>24</v>
      </c>
      <c r="N44" s="82">
        <f>SUM(N45:N46)</f>
        <v>102870000</v>
      </c>
      <c r="O44" s="82">
        <f>SUM(O45:O46)</f>
        <v>6</v>
      </c>
      <c r="P44" s="82">
        <f>SUM(P45:P46)</f>
        <v>0</v>
      </c>
      <c r="Q44" s="82">
        <f>SUM(Q45:Q46)</f>
        <v>0</v>
      </c>
      <c r="R44" s="82">
        <f>SUM(R45:R46)</f>
        <v>0</v>
      </c>
      <c r="S44" s="83">
        <v>1</v>
      </c>
      <c r="T44" s="18">
        <f>SUM(T45:T46)</f>
        <v>0</v>
      </c>
      <c r="U44" s="83">
        <v>3</v>
      </c>
      <c r="V44" s="82">
        <f>SUM(V45:V46)</f>
        <v>0</v>
      </c>
      <c r="W44" s="319">
        <f t="shared" si="3"/>
        <v>10</v>
      </c>
      <c r="X44" s="320">
        <f t="shared" si="0"/>
        <v>0</v>
      </c>
      <c r="Y44" s="368">
        <f t="shared" si="4"/>
        <v>41.666666666666671</v>
      </c>
      <c r="Z44" s="322">
        <f t="shared" si="4"/>
        <v>0</v>
      </c>
      <c r="AA44" s="339">
        <f t="shared" si="6"/>
        <v>67</v>
      </c>
      <c r="AB44" s="320">
        <f t="shared" si="1"/>
        <v>1327920970</v>
      </c>
      <c r="AC44" s="369">
        <f t="shared" si="7"/>
        <v>65.048543689320397</v>
      </c>
      <c r="AD44" s="322">
        <f t="shared" si="2"/>
        <v>27.982054955554297</v>
      </c>
      <c r="AE44" s="25" t="s">
        <v>281</v>
      </c>
      <c r="AF44" s="26"/>
      <c r="AG44" s="480"/>
      <c r="AH44" s="484"/>
      <c r="AI44" s="484"/>
    </row>
    <row r="45" spans="1:35" ht="54" x14ac:dyDescent="0.25">
      <c r="A45" s="26"/>
      <c r="B45" s="27" t="s">
        <v>139</v>
      </c>
      <c r="C45" s="27" t="s">
        <v>73</v>
      </c>
      <c r="D45" s="27" t="s">
        <v>74</v>
      </c>
      <c r="E45" s="27" t="s">
        <v>73</v>
      </c>
      <c r="F45" s="27" t="s">
        <v>94</v>
      </c>
      <c r="G45" s="28" t="s">
        <v>26</v>
      </c>
      <c r="H45" s="28" t="s">
        <v>126</v>
      </c>
      <c r="I45" s="224">
        <v>88</v>
      </c>
      <c r="J45" s="79">
        <v>2136785000</v>
      </c>
      <c r="K45" s="346">
        <f>49+3</f>
        <v>52</v>
      </c>
      <c r="L45" s="148">
        <f>606970996+26790000</f>
        <v>633760996</v>
      </c>
      <c r="M45" s="33">
        <v>12</v>
      </c>
      <c r="N45" s="59">
        <v>37300000</v>
      </c>
      <c r="O45" s="431">
        <v>3</v>
      </c>
      <c r="P45" s="282">
        <v>0</v>
      </c>
      <c r="Q45" s="422"/>
      <c r="R45" s="282"/>
      <c r="S45" s="35"/>
      <c r="T45" s="36"/>
      <c r="U45" s="36"/>
      <c r="V45" s="36"/>
      <c r="W45" s="153">
        <f>O45+Q45+S45+U45</f>
        <v>3</v>
      </c>
      <c r="X45" s="148">
        <f t="shared" si="0"/>
        <v>0</v>
      </c>
      <c r="Y45" s="38">
        <f t="shared" si="4"/>
        <v>25</v>
      </c>
      <c r="Z45" s="39">
        <f t="shared" si="4"/>
        <v>0</v>
      </c>
      <c r="AA45" s="338">
        <f t="shared" si="6"/>
        <v>55</v>
      </c>
      <c r="AB45" s="36">
        <f t="shared" si="1"/>
        <v>633760996</v>
      </c>
      <c r="AC45" s="143">
        <f t="shared" si="7"/>
        <v>62.5</v>
      </c>
      <c r="AD45" s="39">
        <f t="shared" si="2"/>
        <v>29.659558448791056</v>
      </c>
      <c r="AE45" s="160" t="s">
        <v>281</v>
      </c>
      <c r="AF45" s="41"/>
      <c r="AG45" s="472"/>
      <c r="AH45" s="484"/>
      <c r="AI45" s="484"/>
    </row>
    <row r="46" spans="1:35" ht="43.5" customHeight="1" x14ac:dyDescent="0.25">
      <c r="A46" s="26"/>
      <c r="B46" s="27" t="s">
        <v>139</v>
      </c>
      <c r="C46" s="27" t="s">
        <v>73</v>
      </c>
      <c r="D46" s="27" t="s">
        <v>74</v>
      </c>
      <c r="E46" s="27" t="s">
        <v>73</v>
      </c>
      <c r="F46" s="27" t="s">
        <v>96</v>
      </c>
      <c r="G46" s="28" t="s">
        <v>27</v>
      </c>
      <c r="H46" s="28" t="s">
        <v>127</v>
      </c>
      <c r="I46" s="51">
        <v>15</v>
      </c>
      <c r="J46" s="79">
        <v>2608831332</v>
      </c>
      <c r="K46" s="346">
        <f>8+2</f>
        <v>10</v>
      </c>
      <c r="L46" s="148">
        <f>720949974+328601500</f>
        <v>1049551474</v>
      </c>
      <c r="M46" s="33">
        <v>12</v>
      </c>
      <c r="N46" s="59">
        <v>65570000</v>
      </c>
      <c r="O46" s="431">
        <v>3</v>
      </c>
      <c r="P46" s="423">
        <v>0</v>
      </c>
      <c r="Q46" s="422"/>
      <c r="R46" s="282"/>
      <c r="S46" s="172"/>
      <c r="T46" s="148"/>
      <c r="U46" s="154"/>
      <c r="V46" s="148"/>
      <c r="W46" s="153">
        <v>2</v>
      </c>
      <c r="X46" s="148">
        <f t="shared" si="0"/>
        <v>0</v>
      </c>
      <c r="Y46" s="38">
        <f t="shared" si="4"/>
        <v>16.666666666666664</v>
      </c>
      <c r="Z46" s="39">
        <f t="shared" si="4"/>
        <v>0</v>
      </c>
      <c r="AA46" s="338">
        <f t="shared" si="6"/>
        <v>12</v>
      </c>
      <c r="AB46" s="36">
        <f t="shared" si="1"/>
        <v>1049551474</v>
      </c>
      <c r="AC46" s="143">
        <f t="shared" si="7"/>
        <v>80</v>
      </c>
      <c r="AD46" s="39">
        <f t="shared" si="2"/>
        <v>40.230714079755622</v>
      </c>
      <c r="AE46" s="160" t="s">
        <v>281</v>
      </c>
      <c r="AF46" s="29"/>
      <c r="AG46" s="472"/>
      <c r="AH46" s="484"/>
      <c r="AI46" s="484"/>
    </row>
    <row r="47" spans="1:35" s="287" customFormat="1" ht="83.25" customHeight="1" x14ac:dyDescent="0.25">
      <c r="A47" s="56"/>
      <c r="B47" s="84" t="s">
        <v>139</v>
      </c>
      <c r="C47" s="84" t="s">
        <v>73</v>
      </c>
      <c r="D47" s="14" t="s">
        <v>74</v>
      </c>
      <c r="E47" s="84" t="s">
        <v>76</v>
      </c>
      <c r="F47" s="85"/>
      <c r="G47" s="161" t="s">
        <v>28</v>
      </c>
      <c r="H47" s="286" t="s">
        <v>266</v>
      </c>
      <c r="I47" s="373">
        <f>SUM(I48:I54)</f>
        <v>126</v>
      </c>
      <c r="J47" s="156">
        <f>SUM(J48:J54)</f>
        <v>11196305756</v>
      </c>
      <c r="K47" s="350">
        <f>SUM(K48:K54)</f>
        <v>74</v>
      </c>
      <c r="L47" s="82">
        <v>3608754211</v>
      </c>
      <c r="M47" s="53">
        <v>187</v>
      </c>
      <c r="N47" s="82">
        <f>SUM(N48:N54)</f>
        <v>1310058427</v>
      </c>
      <c r="O47" s="82">
        <f t="shared" ref="O47:R47" si="9">SUM(O48:O54)</f>
        <v>0</v>
      </c>
      <c r="P47" s="82">
        <f t="shared" si="9"/>
        <v>65727000</v>
      </c>
      <c r="Q47" s="82">
        <f t="shared" si="9"/>
        <v>0</v>
      </c>
      <c r="R47" s="82">
        <f t="shared" si="9"/>
        <v>0</v>
      </c>
      <c r="S47" s="83">
        <v>5</v>
      </c>
      <c r="T47" s="18">
        <f>SUM(T48+T49+T51+T52+T54)</f>
        <v>0</v>
      </c>
      <c r="U47" s="182">
        <v>17</v>
      </c>
      <c r="V47" s="18">
        <f>SUM(V48+V49+V51+V52+V54)</f>
        <v>0</v>
      </c>
      <c r="W47" s="20">
        <f t="shared" si="3"/>
        <v>22</v>
      </c>
      <c r="X47" s="18">
        <f t="shared" si="0"/>
        <v>65727000</v>
      </c>
      <c r="Y47" s="23">
        <f>SUM(W47/M47*100)</f>
        <v>11.76470588235294</v>
      </c>
      <c r="Z47" s="77">
        <f t="shared" si="4"/>
        <v>5.0171044775852582</v>
      </c>
      <c r="AA47" s="370">
        <f t="shared" si="6"/>
        <v>96</v>
      </c>
      <c r="AB47" s="18">
        <f t="shared" si="1"/>
        <v>3674481211</v>
      </c>
      <c r="AC47" s="78">
        <f t="shared" si="7"/>
        <v>76.19047619047619</v>
      </c>
      <c r="AD47" s="77">
        <f t="shared" si="2"/>
        <v>32.81869297853784</v>
      </c>
      <c r="AE47" s="25" t="s">
        <v>281</v>
      </c>
      <c r="AF47" s="56"/>
      <c r="AG47" s="475"/>
      <c r="AH47" s="487"/>
      <c r="AI47" s="487"/>
    </row>
    <row r="48" spans="1:35" ht="145.5" customHeight="1" x14ac:dyDescent="0.25">
      <c r="A48" s="26"/>
      <c r="B48" s="27" t="s">
        <v>139</v>
      </c>
      <c r="C48" s="27" t="s">
        <v>73</v>
      </c>
      <c r="D48" s="27" t="s">
        <v>74</v>
      </c>
      <c r="E48" s="27" t="s">
        <v>76</v>
      </c>
      <c r="F48" s="27" t="s">
        <v>74</v>
      </c>
      <c r="G48" s="28" t="s">
        <v>29</v>
      </c>
      <c r="H48" s="288" t="s">
        <v>259</v>
      </c>
      <c r="I48" s="51">
        <v>52</v>
      </c>
      <c r="J48" s="63">
        <v>4118866766</v>
      </c>
      <c r="K48" s="346">
        <f>30+7</f>
        <v>37</v>
      </c>
      <c r="L48" s="61">
        <f>1675949350+484401825</f>
        <v>2160351175</v>
      </c>
      <c r="M48" s="33">
        <v>20</v>
      </c>
      <c r="N48" s="59">
        <v>496093427</v>
      </c>
      <c r="O48" s="435">
        <v>0</v>
      </c>
      <c r="P48" s="170">
        <v>0</v>
      </c>
      <c r="Q48" s="86"/>
      <c r="R48" s="170"/>
      <c r="S48" s="72"/>
      <c r="T48" s="69"/>
      <c r="U48" s="72"/>
      <c r="V48" s="69"/>
      <c r="W48" s="153">
        <f t="shared" si="3"/>
        <v>0</v>
      </c>
      <c r="X48" s="148">
        <f t="shared" si="0"/>
        <v>0</v>
      </c>
      <c r="Y48" s="38">
        <f t="shared" si="4"/>
        <v>0</v>
      </c>
      <c r="Z48" s="39">
        <f t="shared" si="4"/>
        <v>0</v>
      </c>
      <c r="AA48" s="338">
        <f t="shared" si="6"/>
        <v>37</v>
      </c>
      <c r="AB48" s="36">
        <f t="shared" si="1"/>
        <v>2160351175</v>
      </c>
      <c r="AC48" s="143">
        <f t="shared" si="7"/>
        <v>71.15384615384616</v>
      </c>
      <c r="AD48" s="39">
        <f t="shared" si="2"/>
        <v>52.450134897128642</v>
      </c>
      <c r="AE48" s="160" t="s">
        <v>281</v>
      </c>
      <c r="AF48" s="87"/>
      <c r="AG48" s="472"/>
      <c r="AH48" s="484"/>
      <c r="AI48" s="484"/>
    </row>
    <row r="49" spans="1:35" ht="56.25" customHeight="1" x14ac:dyDescent="0.25">
      <c r="A49" s="26"/>
      <c r="B49" s="27" t="s">
        <v>139</v>
      </c>
      <c r="C49" s="27" t="s">
        <v>73</v>
      </c>
      <c r="D49" s="27" t="s">
        <v>74</v>
      </c>
      <c r="E49" s="27" t="s">
        <v>76</v>
      </c>
      <c r="F49" s="27" t="s">
        <v>94</v>
      </c>
      <c r="G49" s="28" t="s">
        <v>30</v>
      </c>
      <c r="H49" s="498" t="s">
        <v>128</v>
      </c>
      <c r="I49" s="51">
        <v>5</v>
      </c>
      <c r="J49" s="57">
        <v>880508047.5</v>
      </c>
      <c r="K49" s="346">
        <f>2+2</f>
        <v>4</v>
      </c>
      <c r="L49" s="61">
        <f>354776490+87312000</f>
        <v>442088490</v>
      </c>
      <c r="M49" s="33">
        <v>1</v>
      </c>
      <c r="N49" s="59">
        <v>131070000</v>
      </c>
      <c r="O49" s="428">
        <v>0</v>
      </c>
      <c r="P49" s="425">
        <v>0</v>
      </c>
      <c r="Q49" s="86"/>
      <c r="R49" s="425"/>
      <c r="S49" s="70"/>
      <c r="T49" s="69"/>
      <c r="U49" s="88"/>
      <c r="V49" s="69"/>
      <c r="W49" s="153">
        <f t="shared" si="3"/>
        <v>0</v>
      </c>
      <c r="X49" s="148">
        <f t="shared" si="0"/>
        <v>0</v>
      </c>
      <c r="Y49" s="38">
        <f t="shared" si="4"/>
        <v>0</v>
      </c>
      <c r="Z49" s="39">
        <f t="shared" si="4"/>
        <v>0</v>
      </c>
      <c r="AA49" s="338">
        <f t="shared" si="6"/>
        <v>4</v>
      </c>
      <c r="AB49" s="36">
        <f t="shared" si="1"/>
        <v>442088490</v>
      </c>
      <c r="AC49" s="143">
        <f t="shared" si="7"/>
        <v>80</v>
      </c>
      <c r="AD49" s="39">
        <f t="shared" si="2"/>
        <v>50.208341792583099</v>
      </c>
      <c r="AE49" s="160" t="s">
        <v>281</v>
      </c>
      <c r="AF49" s="41"/>
      <c r="AG49" s="472"/>
      <c r="AH49" s="484"/>
      <c r="AI49" s="484"/>
    </row>
    <row r="50" spans="1:35" ht="94.5" x14ac:dyDescent="0.25">
      <c r="A50" s="26"/>
      <c r="B50" s="27" t="s">
        <v>274</v>
      </c>
      <c r="C50" s="27" t="s">
        <v>73</v>
      </c>
      <c r="D50" s="27" t="s">
        <v>74</v>
      </c>
      <c r="E50" s="27" t="s">
        <v>76</v>
      </c>
      <c r="F50" s="27" t="s">
        <v>96</v>
      </c>
      <c r="G50" s="28" t="s">
        <v>275</v>
      </c>
      <c r="H50" s="288" t="s">
        <v>276</v>
      </c>
      <c r="I50" s="51">
        <v>20</v>
      </c>
      <c r="J50" s="57">
        <v>387000000</v>
      </c>
      <c r="K50" s="346">
        <f>0+10</f>
        <v>10</v>
      </c>
      <c r="L50" s="61">
        <f>0+253367000</f>
        <v>253367000</v>
      </c>
      <c r="M50" s="33">
        <v>20</v>
      </c>
      <c r="N50" s="59">
        <v>168774000</v>
      </c>
      <c r="O50" s="428"/>
      <c r="P50" s="425">
        <v>18502000</v>
      </c>
      <c r="Q50" s="86"/>
      <c r="R50" s="425"/>
      <c r="S50" s="70"/>
      <c r="T50" s="69"/>
      <c r="U50" s="88"/>
      <c r="V50" s="69"/>
      <c r="W50" s="153">
        <f t="shared" si="3"/>
        <v>0</v>
      </c>
      <c r="X50" s="148">
        <f t="shared" si="0"/>
        <v>18502000</v>
      </c>
      <c r="Y50" s="38">
        <f t="shared" si="4"/>
        <v>0</v>
      </c>
      <c r="Z50" s="39">
        <f t="shared" si="4"/>
        <v>10.962589024375792</v>
      </c>
      <c r="AA50" s="374">
        <f>SUM(K50+W50)</f>
        <v>10</v>
      </c>
      <c r="AB50" s="36">
        <f t="shared" si="1"/>
        <v>271869000</v>
      </c>
      <c r="AC50" s="143">
        <f t="shared" si="7"/>
        <v>50</v>
      </c>
      <c r="AD50" s="39">
        <f t="shared" si="2"/>
        <v>70.250387596899216</v>
      </c>
      <c r="AE50" s="160" t="s">
        <v>281</v>
      </c>
      <c r="AF50" s="41"/>
      <c r="AG50" s="472"/>
      <c r="AH50" s="484"/>
      <c r="AI50" s="484"/>
    </row>
    <row r="51" spans="1:35" ht="81" x14ac:dyDescent="0.25">
      <c r="A51" s="26"/>
      <c r="B51" s="27" t="s">
        <v>139</v>
      </c>
      <c r="C51" s="27" t="s">
        <v>73</v>
      </c>
      <c r="D51" s="27" t="s">
        <v>74</v>
      </c>
      <c r="E51" s="27" t="s">
        <v>76</v>
      </c>
      <c r="F51" s="27" t="s">
        <v>88</v>
      </c>
      <c r="G51" s="28" t="s">
        <v>31</v>
      </c>
      <c r="H51" s="288" t="s">
        <v>277</v>
      </c>
      <c r="I51" s="51">
        <v>32</v>
      </c>
      <c r="J51" s="89">
        <v>1859125052</v>
      </c>
      <c r="K51" s="346">
        <f>2+8</f>
        <v>10</v>
      </c>
      <c r="L51" s="61">
        <f>354776490+73774500</f>
        <v>428550990</v>
      </c>
      <c r="M51" s="33">
        <v>20</v>
      </c>
      <c r="N51" s="59">
        <v>142716000</v>
      </c>
      <c r="O51" s="435">
        <v>0</v>
      </c>
      <c r="P51" s="170">
        <v>0</v>
      </c>
      <c r="Q51" s="170"/>
      <c r="R51" s="170"/>
      <c r="S51" s="70"/>
      <c r="T51" s="69"/>
      <c r="U51" s="69"/>
      <c r="V51" s="69"/>
      <c r="W51" s="153">
        <f t="shared" si="3"/>
        <v>0</v>
      </c>
      <c r="X51" s="148">
        <f t="shared" si="0"/>
        <v>0</v>
      </c>
      <c r="Y51" s="38">
        <f t="shared" si="4"/>
        <v>0</v>
      </c>
      <c r="Z51" s="39">
        <f t="shared" si="4"/>
        <v>0</v>
      </c>
      <c r="AA51" s="338">
        <f t="shared" si="6"/>
        <v>10</v>
      </c>
      <c r="AB51" s="36">
        <f t="shared" si="1"/>
        <v>428550990</v>
      </c>
      <c r="AC51" s="143">
        <f t="shared" si="7"/>
        <v>31.25</v>
      </c>
      <c r="AD51" s="39">
        <f t="shared" si="2"/>
        <v>23.051219149512058</v>
      </c>
      <c r="AE51" s="160" t="s">
        <v>281</v>
      </c>
      <c r="AF51" s="90"/>
      <c r="AG51" s="472"/>
      <c r="AH51" s="484"/>
      <c r="AI51" s="484"/>
    </row>
    <row r="52" spans="1:35" ht="56.25" customHeight="1" x14ac:dyDescent="0.25">
      <c r="A52" s="26"/>
      <c r="B52" s="27" t="s">
        <v>139</v>
      </c>
      <c r="C52" s="27" t="s">
        <v>73</v>
      </c>
      <c r="D52" s="27" t="s">
        <v>74</v>
      </c>
      <c r="E52" s="27" t="s">
        <v>76</v>
      </c>
      <c r="F52" s="27" t="s">
        <v>77</v>
      </c>
      <c r="G52" s="49" t="s">
        <v>33</v>
      </c>
      <c r="H52" s="288" t="s">
        <v>32</v>
      </c>
      <c r="I52" s="51">
        <v>5</v>
      </c>
      <c r="J52" s="89">
        <v>2517010628</v>
      </c>
      <c r="K52" s="346">
        <f>3+1</f>
        <v>4</v>
      </c>
      <c r="L52" s="148">
        <f>699563200+233420700</f>
        <v>932983900</v>
      </c>
      <c r="M52" s="33">
        <v>20</v>
      </c>
      <c r="N52" s="59">
        <v>138060000</v>
      </c>
      <c r="O52" s="431"/>
      <c r="P52" s="282">
        <v>5250000</v>
      </c>
      <c r="Q52" s="422"/>
      <c r="R52" s="282"/>
      <c r="S52" s="46"/>
      <c r="T52" s="36"/>
      <c r="U52" s="36"/>
      <c r="V52" s="36"/>
      <c r="W52" s="153">
        <f t="shared" si="3"/>
        <v>0</v>
      </c>
      <c r="X52" s="148">
        <f t="shared" si="0"/>
        <v>5250000</v>
      </c>
      <c r="Y52" s="38">
        <f t="shared" si="4"/>
        <v>0</v>
      </c>
      <c r="Z52" s="39">
        <f t="shared" si="4"/>
        <v>3.8026944806605822</v>
      </c>
      <c r="AA52" s="338">
        <f t="shared" si="6"/>
        <v>4</v>
      </c>
      <c r="AB52" s="36">
        <f t="shared" si="1"/>
        <v>938233900</v>
      </c>
      <c r="AC52" s="143">
        <f t="shared" si="7"/>
        <v>80</v>
      </c>
      <c r="AD52" s="39">
        <f t="shared" si="2"/>
        <v>37.275722619634486</v>
      </c>
      <c r="AE52" s="160" t="s">
        <v>281</v>
      </c>
      <c r="AF52" s="91"/>
      <c r="AG52" s="472"/>
      <c r="AH52" s="484"/>
      <c r="AI52" s="484"/>
    </row>
    <row r="53" spans="1:35" s="163" customFormat="1" ht="27" x14ac:dyDescent="0.25">
      <c r="A53" s="162"/>
      <c r="B53" s="27" t="s">
        <v>139</v>
      </c>
      <c r="C53" s="27" t="s">
        <v>73</v>
      </c>
      <c r="D53" s="27" t="s">
        <v>74</v>
      </c>
      <c r="E53" s="27" t="s">
        <v>76</v>
      </c>
      <c r="F53" s="27" t="s">
        <v>89</v>
      </c>
      <c r="G53" s="49" t="s">
        <v>35</v>
      </c>
      <c r="H53" s="288" t="s">
        <v>34</v>
      </c>
      <c r="I53" s="33">
        <v>4</v>
      </c>
      <c r="J53" s="289">
        <v>311220000</v>
      </c>
      <c r="K53" s="353">
        <f>2+1</f>
        <v>3</v>
      </c>
      <c r="L53" s="58">
        <f>93096000+19989000</f>
        <v>113085000</v>
      </c>
      <c r="M53" s="92" t="s">
        <v>85</v>
      </c>
      <c r="N53" s="289">
        <v>102020000</v>
      </c>
      <c r="O53" s="424">
        <v>0</v>
      </c>
      <c r="P53" s="425">
        <v>0</v>
      </c>
      <c r="Q53" s="424"/>
      <c r="R53" s="425"/>
      <c r="S53" s="276"/>
      <c r="T53" s="58"/>
      <c r="U53" s="58"/>
      <c r="V53" s="58"/>
      <c r="W53" s="153">
        <f t="shared" si="3"/>
        <v>0</v>
      </c>
      <c r="X53" s="148">
        <f t="shared" si="0"/>
        <v>0</v>
      </c>
      <c r="Y53" s="38">
        <f t="shared" si="4"/>
        <v>0</v>
      </c>
      <c r="Z53" s="39">
        <f t="shared" si="4"/>
        <v>0</v>
      </c>
      <c r="AA53" s="338">
        <f t="shared" si="6"/>
        <v>3</v>
      </c>
      <c r="AB53" s="36">
        <f t="shared" si="1"/>
        <v>113085000</v>
      </c>
      <c r="AC53" s="143">
        <f t="shared" si="7"/>
        <v>75</v>
      </c>
      <c r="AD53" s="39">
        <f t="shared" si="2"/>
        <v>36.336032388663966</v>
      </c>
      <c r="AE53" s="160" t="s">
        <v>281</v>
      </c>
      <c r="AF53" s="65"/>
      <c r="AG53" s="478"/>
      <c r="AH53" s="486"/>
      <c r="AI53" s="486"/>
    </row>
    <row r="54" spans="1:35" ht="40.5" x14ac:dyDescent="0.25">
      <c r="A54" s="26"/>
      <c r="B54" s="27" t="s">
        <v>139</v>
      </c>
      <c r="C54" s="27" t="s">
        <v>73</v>
      </c>
      <c r="D54" s="27" t="s">
        <v>74</v>
      </c>
      <c r="E54" s="27" t="s">
        <v>76</v>
      </c>
      <c r="F54" s="27" t="s">
        <v>78</v>
      </c>
      <c r="G54" s="28" t="s">
        <v>97</v>
      </c>
      <c r="H54" s="288" t="s">
        <v>129</v>
      </c>
      <c r="I54" s="51">
        <v>8</v>
      </c>
      <c r="J54" s="57">
        <v>1122575262.5</v>
      </c>
      <c r="K54" s="346">
        <f>4+2</f>
        <v>6</v>
      </c>
      <c r="L54" s="148">
        <f>373566421+85914200</f>
        <v>459480621</v>
      </c>
      <c r="M54" s="33">
        <v>20</v>
      </c>
      <c r="N54" s="59">
        <v>131325000</v>
      </c>
      <c r="O54" s="436"/>
      <c r="P54" s="282">
        <v>41975000</v>
      </c>
      <c r="Q54" s="422"/>
      <c r="R54" s="282"/>
      <c r="S54" s="42"/>
      <c r="T54" s="36"/>
      <c r="U54" s="36"/>
      <c r="V54" s="36"/>
      <c r="W54" s="153">
        <f t="shared" si="3"/>
        <v>0</v>
      </c>
      <c r="X54" s="148">
        <f t="shared" si="0"/>
        <v>41975000</v>
      </c>
      <c r="Y54" s="38">
        <f t="shared" si="4"/>
        <v>0</v>
      </c>
      <c r="Z54" s="39">
        <f t="shared" si="4"/>
        <v>31.962687987816484</v>
      </c>
      <c r="AA54" s="338">
        <f t="shared" si="6"/>
        <v>6</v>
      </c>
      <c r="AB54" s="36">
        <f t="shared" si="1"/>
        <v>501455621</v>
      </c>
      <c r="AC54" s="143">
        <f t="shared" si="7"/>
        <v>75</v>
      </c>
      <c r="AD54" s="39">
        <f t="shared" si="2"/>
        <v>44.670111461680278</v>
      </c>
      <c r="AE54" s="160" t="s">
        <v>281</v>
      </c>
      <c r="AF54" s="90"/>
      <c r="AG54" s="472"/>
      <c r="AH54" s="484"/>
      <c r="AI54" s="484"/>
    </row>
    <row r="55" spans="1:35" ht="41.25" customHeight="1" x14ac:dyDescent="0.25">
      <c r="A55" s="445"/>
      <c r="B55" s="27" t="s">
        <v>274</v>
      </c>
      <c r="C55" s="27" t="s">
        <v>73</v>
      </c>
      <c r="D55" s="27" t="s">
        <v>74</v>
      </c>
      <c r="E55" s="27" t="s">
        <v>76</v>
      </c>
      <c r="F55" s="27" t="s">
        <v>80</v>
      </c>
      <c r="G55" s="446" t="s">
        <v>299</v>
      </c>
      <c r="H55" s="447" t="s">
        <v>300</v>
      </c>
      <c r="I55" s="448">
        <v>15</v>
      </c>
      <c r="J55" s="449">
        <v>83040000</v>
      </c>
      <c r="K55" s="450">
        <f>0+3</f>
        <v>3</v>
      </c>
      <c r="L55" s="451">
        <f>0+12810000</f>
        <v>12810000</v>
      </c>
      <c r="M55" s="452">
        <v>20</v>
      </c>
      <c r="N55" s="453">
        <v>48040000</v>
      </c>
      <c r="O55" s="454">
        <v>0</v>
      </c>
      <c r="P55" s="455">
        <v>0</v>
      </c>
      <c r="Q55" s="456"/>
      <c r="R55" s="455"/>
      <c r="S55" s="457"/>
      <c r="T55" s="458"/>
      <c r="U55" s="458"/>
      <c r="V55" s="458"/>
      <c r="W55" s="153">
        <f t="shared" si="3"/>
        <v>0</v>
      </c>
      <c r="X55" s="148">
        <f t="shared" si="0"/>
        <v>0</v>
      </c>
      <c r="Y55" s="38">
        <f t="shared" ref="Y55" si="10">SUM(W55/M55*100)</f>
        <v>0</v>
      </c>
      <c r="Z55" s="39">
        <f t="shared" ref="Z55" si="11">SUM(X55/N55*100)</f>
        <v>0</v>
      </c>
      <c r="AA55" s="338">
        <f t="shared" si="6"/>
        <v>3</v>
      </c>
      <c r="AB55" s="36">
        <f t="shared" si="1"/>
        <v>12810000</v>
      </c>
      <c r="AC55" s="143">
        <f t="shared" ref="AC55" si="12">SUM(AA55/I55*100)</f>
        <v>20</v>
      </c>
      <c r="AD55" s="39">
        <f t="shared" si="2"/>
        <v>15.426300578034683</v>
      </c>
      <c r="AE55" s="160" t="s">
        <v>281</v>
      </c>
      <c r="AF55" s="90"/>
      <c r="AG55" s="472"/>
      <c r="AH55" s="484"/>
      <c r="AI55" s="484"/>
    </row>
    <row r="56" spans="1:35" s="287" customFormat="1" ht="40.5" customHeight="1" x14ac:dyDescent="0.25">
      <c r="A56" s="290"/>
      <c r="B56" s="196" t="s">
        <v>139</v>
      </c>
      <c r="C56" s="197" t="s">
        <v>73</v>
      </c>
      <c r="D56" s="197" t="s">
        <v>74</v>
      </c>
      <c r="E56" s="197" t="s">
        <v>83</v>
      </c>
      <c r="F56" s="197"/>
      <c r="G56" s="551" t="s">
        <v>36</v>
      </c>
      <c r="H56" s="291" t="s">
        <v>267</v>
      </c>
      <c r="I56" s="198">
        <v>3</v>
      </c>
      <c r="J56" s="199">
        <f>SUM(J62:J118)</f>
        <v>111610171702</v>
      </c>
      <c r="K56" s="354">
        <v>2</v>
      </c>
      <c r="L56" s="200">
        <v>34728924666</v>
      </c>
      <c r="M56" s="198">
        <v>1</v>
      </c>
      <c r="N56" s="292">
        <f>SUM(N62:N121)</f>
        <v>12392354744</v>
      </c>
      <c r="O56" s="266"/>
      <c r="P56" s="292">
        <f>SUM(P62:P121)</f>
        <v>997282771</v>
      </c>
      <c r="Q56" s="266"/>
      <c r="R56" s="292">
        <f>SUM(R62:R121)</f>
        <v>0</v>
      </c>
      <c r="S56" s="201"/>
      <c r="T56" s="200">
        <f>SUM(T62:T118)</f>
        <v>0</v>
      </c>
      <c r="U56" s="201">
        <v>1</v>
      </c>
      <c r="V56" s="200">
        <f>SUM(V62:V118)</f>
        <v>0</v>
      </c>
      <c r="W56" s="226">
        <v>1</v>
      </c>
      <c r="X56" s="202">
        <f>SUM(X62:X121)</f>
        <v>997282771</v>
      </c>
      <c r="Y56" s="227">
        <f t="shared" si="4"/>
        <v>100</v>
      </c>
      <c r="Z56" s="203">
        <f t="shared" ref="Z56:Z63" si="13">SUM(X56/N56)*100</f>
        <v>8.0475647413406559</v>
      </c>
      <c r="AA56" s="226">
        <f t="shared" si="6"/>
        <v>3</v>
      </c>
      <c r="AB56" s="202">
        <f>SUM(L56+X56)</f>
        <v>35726207437</v>
      </c>
      <c r="AC56" s="231">
        <f t="shared" si="7"/>
        <v>100</v>
      </c>
      <c r="AD56" s="203">
        <f>SUM(AB56/J56)*100</f>
        <v>32.009813166840424</v>
      </c>
      <c r="AE56" s="204" t="s">
        <v>281</v>
      </c>
      <c r="AF56" s="56"/>
      <c r="AG56" s="475"/>
      <c r="AH56" s="487"/>
      <c r="AI56" s="487"/>
    </row>
    <row r="57" spans="1:35" s="287" customFormat="1" ht="40.5" x14ac:dyDescent="0.25">
      <c r="A57" s="293"/>
      <c r="B57" s="205"/>
      <c r="C57" s="206"/>
      <c r="D57" s="206"/>
      <c r="E57" s="206"/>
      <c r="F57" s="206"/>
      <c r="G57" s="552"/>
      <c r="H57" s="294" t="s">
        <v>268</v>
      </c>
      <c r="I57" s="207">
        <v>14</v>
      </c>
      <c r="J57" s="208"/>
      <c r="K57" s="355">
        <v>11</v>
      </c>
      <c r="L57" s="185"/>
      <c r="M57" s="207">
        <v>4</v>
      </c>
      <c r="N57" s="295"/>
      <c r="O57" s="225">
        <v>1</v>
      </c>
      <c r="P57" s="471"/>
      <c r="Q57" s="225">
        <v>1</v>
      </c>
      <c r="R57" s="404"/>
      <c r="S57" s="209">
        <v>1</v>
      </c>
      <c r="T57" s="185"/>
      <c r="U57" s="209">
        <v>1</v>
      </c>
      <c r="V57" s="185"/>
      <c r="W57" s="225">
        <f>SUM(O57:U57)</f>
        <v>4</v>
      </c>
      <c r="X57" s="210"/>
      <c r="Y57" s="228">
        <f t="shared" si="4"/>
        <v>100</v>
      </c>
      <c r="Z57" s="211"/>
      <c r="AA57" s="225">
        <f t="shared" si="6"/>
        <v>15</v>
      </c>
      <c r="AB57" s="210"/>
      <c r="AC57" s="232">
        <f t="shared" si="7"/>
        <v>107.14285714285714</v>
      </c>
      <c r="AD57" s="211"/>
      <c r="AE57" s="212"/>
      <c r="AF57" s="56"/>
      <c r="AG57" s="475"/>
      <c r="AH57" s="487"/>
      <c r="AI57" s="487"/>
    </row>
    <row r="58" spans="1:35" s="287" customFormat="1" ht="40.5" x14ac:dyDescent="0.25">
      <c r="A58" s="293"/>
      <c r="B58" s="205"/>
      <c r="C58" s="206"/>
      <c r="D58" s="206"/>
      <c r="E58" s="206"/>
      <c r="F58" s="206"/>
      <c r="G58" s="552"/>
      <c r="H58" s="294" t="s">
        <v>269</v>
      </c>
      <c r="I58" s="207">
        <v>23</v>
      </c>
      <c r="J58" s="208"/>
      <c r="K58" s="355">
        <v>13</v>
      </c>
      <c r="L58" s="185"/>
      <c r="M58" s="207">
        <v>4</v>
      </c>
      <c r="N58" s="295"/>
      <c r="O58" s="225">
        <v>0</v>
      </c>
      <c r="P58" s="471"/>
      <c r="Q58" s="225">
        <v>2</v>
      </c>
      <c r="R58" s="404"/>
      <c r="S58" s="209">
        <v>0</v>
      </c>
      <c r="T58" s="185"/>
      <c r="U58" s="209">
        <v>2</v>
      </c>
      <c r="V58" s="185"/>
      <c r="W58" s="225">
        <f>SUM(O58:U58)</f>
        <v>4</v>
      </c>
      <c r="X58" s="210"/>
      <c r="Y58" s="228">
        <f t="shared" si="4"/>
        <v>100</v>
      </c>
      <c r="Z58" s="211"/>
      <c r="AA58" s="225">
        <f t="shared" si="6"/>
        <v>17</v>
      </c>
      <c r="AB58" s="210"/>
      <c r="AC58" s="232">
        <f t="shared" si="7"/>
        <v>73.91304347826086</v>
      </c>
      <c r="AD58" s="211"/>
      <c r="AE58" s="212"/>
      <c r="AF58" s="56"/>
      <c r="AG58" s="475"/>
      <c r="AH58" s="487"/>
      <c r="AI58" s="487"/>
    </row>
    <row r="59" spans="1:35" s="287" customFormat="1" ht="27" x14ac:dyDescent="0.25">
      <c r="A59" s="293"/>
      <c r="B59" s="205"/>
      <c r="C59" s="206"/>
      <c r="D59" s="206"/>
      <c r="E59" s="206"/>
      <c r="F59" s="206"/>
      <c r="G59" s="552"/>
      <c r="H59" s="294" t="s">
        <v>270</v>
      </c>
      <c r="I59" s="220">
        <v>277084</v>
      </c>
      <c r="J59" s="208"/>
      <c r="K59" s="376">
        <v>118457</v>
      </c>
      <c r="L59" s="185"/>
      <c r="M59" s="220">
        <v>60657</v>
      </c>
      <c r="N59" s="295"/>
      <c r="O59" s="267"/>
      <c r="P59" s="404"/>
      <c r="Q59" s="267"/>
      <c r="R59" s="404"/>
      <c r="S59" s="209"/>
      <c r="T59" s="185"/>
      <c r="U59" s="209">
        <v>60657</v>
      </c>
      <c r="V59" s="185"/>
      <c r="W59" s="225">
        <f>SUM(O59:U59)</f>
        <v>60657</v>
      </c>
      <c r="X59" s="210"/>
      <c r="Y59" s="228">
        <f t="shared" si="4"/>
        <v>100</v>
      </c>
      <c r="Z59" s="211"/>
      <c r="AA59" s="225">
        <f t="shared" si="6"/>
        <v>179114</v>
      </c>
      <c r="AB59" s="210"/>
      <c r="AC59" s="232">
        <f t="shared" si="7"/>
        <v>64.642491085735728</v>
      </c>
      <c r="AD59" s="211"/>
      <c r="AE59" s="212"/>
      <c r="AF59" s="56"/>
      <c r="AG59" s="475"/>
      <c r="AH59" s="487"/>
      <c r="AI59" s="487"/>
    </row>
    <row r="60" spans="1:35" s="287" customFormat="1" ht="40.5" x14ac:dyDescent="0.25">
      <c r="A60" s="293"/>
      <c r="B60" s="205"/>
      <c r="C60" s="206"/>
      <c r="D60" s="206"/>
      <c r="E60" s="206"/>
      <c r="F60" s="206"/>
      <c r="G60" s="552"/>
      <c r="H60" s="294" t="s">
        <v>271</v>
      </c>
      <c r="I60" s="207">
        <v>103</v>
      </c>
      <c r="J60" s="208"/>
      <c r="K60" s="355">
        <v>46</v>
      </c>
      <c r="L60" s="185"/>
      <c r="M60" s="207">
        <v>8</v>
      </c>
      <c r="N60" s="295"/>
      <c r="O60" s="225">
        <v>0</v>
      </c>
      <c r="P60" s="471"/>
      <c r="Q60" s="225">
        <v>3</v>
      </c>
      <c r="R60" s="404"/>
      <c r="S60" s="209">
        <v>1</v>
      </c>
      <c r="T60" s="185"/>
      <c r="U60" s="209">
        <v>4</v>
      </c>
      <c r="V60" s="185"/>
      <c r="W60" s="225">
        <f>SUM(O60:U60)</f>
        <v>8</v>
      </c>
      <c r="X60" s="210"/>
      <c r="Y60" s="228">
        <f t="shared" si="4"/>
        <v>100</v>
      </c>
      <c r="Z60" s="211"/>
      <c r="AA60" s="225">
        <f t="shared" si="6"/>
        <v>54</v>
      </c>
      <c r="AB60" s="210"/>
      <c r="AC60" s="232">
        <f t="shared" si="7"/>
        <v>52.427184466019419</v>
      </c>
      <c r="AD60" s="211"/>
      <c r="AE60" s="212"/>
      <c r="AF60" s="56"/>
      <c r="AG60" s="475"/>
      <c r="AH60" s="487"/>
      <c r="AI60" s="487"/>
    </row>
    <row r="61" spans="1:35" s="287" customFormat="1" ht="51.75" customHeight="1" x14ac:dyDescent="0.25">
      <c r="A61" s="296"/>
      <c r="B61" s="213"/>
      <c r="C61" s="214"/>
      <c r="D61" s="214"/>
      <c r="E61" s="214"/>
      <c r="F61" s="214"/>
      <c r="G61" s="553"/>
      <c r="H61" s="297" t="s">
        <v>272</v>
      </c>
      <c r="I61" s="221">
        <v>92141907400</v>
      </c>
      <c r="J61" s="215"/>
      <c r="K61" s="375">
        <v>173341329672</v>
      </c>
      <c r="L61" s="216"/>
      <c r="M61" s="221">
        <v>77554000000</v>
      </c>
      <c r="N61" s="298"/>
      <c r="O61" s="229">
        <v>21543845357</v>
      </c>
      <c r="P61" s="405"/>
      <c r="Q61" s="229">
        <v>23333837604</v>
      </c>
      <c r="R61" s="405"/>
      <c r="S61" s="217">
        <v>37100507504</v>
      </c>
      <c r="T61" s="216"/>
      <c r="U61" s="217">
        <v>37221446215</v>
      </c>
      <c r="V61" s="216"/>
      <c r="W61" s="229">
        <f>SUM(O61:U61)</f>
        <v>119199636680</v>
      </c>
      <c r="X61" s="218"/>
      <c r="Y61" s="230">
        <f t="shared" si="4"/>
        <v>153.69888939319699</v>
      </c>
      <c r="Z61" s="219"/>
      <c r="AA61" s="229">
        <f t="shared" si="6"/>
        <v>292540966352</v>
      </c>
      <c r="AB61" s="218"/>
      <c r="AC61" s="233">
        <f t="shared" si="7"/>
        <v>317.48959252823113</v>
      </c>
      <c r="AD61" s="219"/>
      <c r="AE61" s="195"/>
      <c r="AF61" s="56"/>
      <c r="AG61" s="475"/>
      <c r="AH61" s="487"/>
      <c r="AI61" s="487"/>
    </row>
    <row r="62" spans="1:35" ht="47.25" customHeight="1" x14ac:dyDescent="0.25">
      <c r="A62" s="26"/>
      <c r="B62" s="186" t="s">
        <v>139</v>
      </c>
      <c r="C62" s="329" t="s">
        <v>292</v>
      </c>
      <c r="D62" s="186" t="s">
        <v>74</v>
      </c>
      <c r="E62" s="186" t="s">
        <v>83</v>
      </c>
      <c r="F62" s="186" t="s">
        <v>75</v>
      </c>
      <c r="G62" s="509" t="s">
        <v>37</v>
      </c>
      <c r="H62" s="510" t="s">
        <v>260</v>
      </c>
      <c r="I62" s="187">
        <v>10</v>
      </c>
      <c r="J62" s="188">
        <v>3269003450</v>
      </c>
      <c r="K62" s="356">
        <f>6+2</f>
        <v>8</v>
      </c>
      <c r="L62" s="193">
        <f>1657047900+532918500</f>
        <v>2189966400</v>
      </c>
      <c r="M62" s="335" t="s">
        <v>400</v>
      </c>
      <c r="N62" s="271">
        <v>462073720</v>
      </c>
      <c r="O62" s="437">
        <v>0</v>
      </c>
      <c r="P62" s="438">
        <v>0</v>
      </c>
      <c r="Q62" s="437"/>
      <c r="R62" s="438"/>
      <c r="S62" s="189"/>
      <c r="T62" s="190"/>
      <c r="U62" s="191"/>
      <c r="V62" s="190"/>
      <c r="W62" s="153">
        <f t="shared" ref="W62:X123" si="14">O62+Q62+S62+U62</f>
        <v>0</v>
      </c>
      <c r="X62" s="260">
        <f>SUM(P62+R62+T62+V62)</f>
        <v>0</v>
      </c>
      <c r="Y62" s="38">
        <f t="shared" si="4"/>
        <v>0</v>
      </c>
      <c r="Z62" s="192">
        <f t="shared" si="13"/>
        <v>0</v>
      </c>
      <c r="AA62" s="338">
        <f t="shared" si="6"/>
        <v>8</v>
      </c>
      <c r="AB62" s="193">
        <f>SUM(L62+X62)</f>
        <v>2189966400</v>
      </c>
      <c r="AC62" s="143">
        <f t="shared" si="7"/>
        <v>80</v>
      </c>
      <c r="AD62" s="194">
        <f t="shared" ref="AD62:AD73" si="15">SUM(AB62/J62)*100</f>
        <v>66.991865670866758</v>
      </c>
      <c r="AE62" s="323" t="s">
        <v>281</v>
      </c>
      <c r="AF62" s="96"/>
      <c r="AG62" s="472"/>
      <c r="AH62" s="484"/>
      <c r="AI62" s="484"/>
    </row>
    <row r="63" spans="1:35" ht="73.5" customHeight="1" x14ac:dyDescent="0.25">
      <c r="A63" s="26"/>
      <c r="B63" s="93" t="s">
        <v>139</v>
      </c>
      <c r="C63" s="93" t="s">
        <v>73</v>
      </c>
      <c r="D63" s="93" t="s">
        <v>74</v>
      </c>
      <c r="E63" s="93" t="s">
        <v>83</v>
      </c>
      <c r="F63" s="93" t="s">
        <v>94</v>
      </c>
      <c r="G63" s="28" t="s">
        <v>39</v>
      </c>
      <c r="H63" s="288" t="s">
        <v>38</v>
      </c>
      <c r="I63" s="51">
        <v>4</v>
      </c>
      <c r="J63" s="79">
        <v>1323585900</v>
      </c>
      <c r="K63" s="346">
        <v>3</v>
      </c>
      <c r="L63" s="61">
        <f>463486093+92071790</f>
        <v>555557883</v>
      </c>
      <c r="M63" s="48">
        <v>1</v>
      </c>
      <c r="N63" s="67">
        <v>64057069</v>
      </c>
      <c r="O63" s="428">
        <v>0</v>
      </c>
      <c r="P63" s="425">
        <v>0</v>
      </c>
      <c r="Q63" s="86"/>
      <c r="R63" s="425"/>
      <c r="S63" s="102"/>
      <c r="T63" s="69"/>
      <c r="U63" s="69"/>
      <c r="V63" s="88"/>
      <c r="W63" s="153">
        <v>0</v>
      </c>
      <c r="X63" s="148">
        <f t="shared" ref="X63:X77" si="16">SUM(P63+R63+T63+V63)</f>
        <v>0</v>
      </c>
      <c r="Y63" s="38">
        <f t="shared" si="4"/>
        <v>0</v>
      </c>
      <c r="Z63" s="95">
        <f t="shared" si="13"/>
        <v>0</v>
      </c>
      <c r="AA63" s="338">
        <f t="shared" si="6"/>
        <v>3</v>
      </c>
      <c r="AB63" s="61">
        <f>SUM(L63+X63)</f>
        <v>555557883</v>
      </c>
      <c r="AC63" s="143">
        <f t="shared" si="7"/>
        <v>75</v>
      </c>
      <c r="AD63" s="40">
        <f t="shared" si="15"/>
        <v>41.973693056113696</v>
      </c>
      <c r="AE63" s="160" t="s">
        <v>281</v>
      </c>
      <c r="AF63" s="97"/>
      <c r="AG63" s="481"/>
      <c r="AH63" s="484"/>
      <c r="AI63" s="484"/>
    </row>
    <row r="64" spans="1:35" ht="93.75" customHeight="1" x14ac:dyDescent="0.25">
      <c r="A64" s="26"/>
      <c r="B64" s="93" t="s">
        <v>139</v>
      </c>
      <c r="C64" s="93" t="s">
        <v>73</v>
      </c>
      <c r="D64" s="93" t="s">
        <v>74</v>
      </c>
      <c r="E64" s="93" t="s">
        <v>83</v>
      </c>
      <c r="F64" s="93" t="s">
        <v>96</v>
      </c>
      <c r="G64" s="28" t="s">
        <v>98</v>
      </c>
      <c r="H64" s="288" t="s">
        <v>40</v>
      </c>
      <c r="I64" s="30">
        <v>5</v>
      </c>
      <c r="J64" s="57">
        <v>1016747000</v>
      </c>
      <c r="K64" s="346">
        <v>3</v>
      </c>
      <c r="L64" s="61">
        <f>398062000+0</f>
        <v>398062000</v>
      </c>
      <c r="M64" s="33">
        <v>0</v>
      </c>
      <c r="N64" s="59">
        <v>0</v>
      </c>
      <c r="O64" s="428">
        <v>0</v>
      </c>
      <c r="P64" s="439">
        <v>0</v>
      </c>
      <c r="Q64" s="86"/>
      <c r="R64" s="439"/>
      <c r="S64" s="102"/>
      <c r="T64" s="69"/>
      <c r="U64" s="69"/>
      <c r="V64" s="69"/>
      <c r="W64" s="153">
        <f t="shared" si="14"/>
        <v>0</v>
      </c>
      <c r="X64" s="148">
        <f t="shared" si="16"/>
        <v>0</v>
      </c>
      <c r="Y64" s="38" t="e">
        <f t="shared" si="4"/>
        <v>#DIV/0!</v>
      </c>
      <c r="Z64" s="95" t="e">
        <f t="shared" ref="Z64:Z115" si="17">SUM(X64/N64)*100</f>
        <v>#DIV/0!</v>
      </c>
      <c r="AA64" s="338">
        <f t="shared" si="6"/>
        <v>3</v>
      </c>
      <c r="AB64" s="61">
        <f t="shared" ref="AB64:AB71" si="18">SUM(L64+X64)</f>
        <v>398062000</v>
      </c>
      <c r="AC64" s="143">
        <f t="shared" si="7"/>
        <v>60</v>
      </c>
      <c r="AD64" s="39">
        <f t="shared" si="15"/>
        <v>39.150545809331135</v>
      </c>
      <c r="AE64" s="160" t="s">
        <v>281</v>
      </c>
      <c r="AF64" s="90"/>
      <c r="AG64" s="472"/>
      <c r="AH64" s="493"/>
      <c r="AI64" s="494"/>
    </row>
    <row r="65" spans="1:35" ht="75" customHeight="1" x14ac:dyDescent="0.25">
      <c r="A65" s="26"/>
      <c r="B65" s="93" t="s">
        <v>139</v>
      </c>
      <c r="C65" s="93" t="s">
        <v>73</v>
      </c>
      <c r="D65" s="93" t="s">
        <v>74</v>
      </c>
      <c r="E65" s="93" t="s">
        <v>83</v>
      </c>
      <c r="F65" s="93" t="s">
        <v>76</v>
      </c>
      <c r="G65" s="28" t="s">
        <v>42</v>
      </c>
      <c r="H65" s="288" t="s">
        <v>41</v>
      </c>
      <c r="I65" s="51">
        <v>5</v>
      </c>
      <c r="J65" s="94">
        <v>3188327424</v>
      </c>
      <c r="K65" s="346">
        <v>4</v>
      </c>
      <c r="L65" s="61">
        <f>793092900+331175000</f>
        <v>1124267900</v>
      </c>
      <c r="M65" s="33">
        <v>1</v>
      </c>
      <c r="N65" s="59">
        <v>300818900</v>
      </c>
      <c r="O65" s="424"/>
      <c r="P65" s="439">
        <v>28183500</v>
      </c>
      <c r="Q65" s="86"/>
      <c r="R65" s="439"/>
      <c r="S65" s="102"/>
      <c r="T65" s="69"/>
      <c r="U65" s="72"/>
      <c r="V65" s="69"/>
      <c r="W65" s="153">
        <f>O65+Q65+S65+U65</f>
        <v>0</v>
      </c>
      <c r="X65" s="148">
        <f t="shared" si="16"/>
        <v>28183500</v>
      </c>
      <c r="Y65" s="38">
        <f t="shared" si="4"/>
        <v>0</v>
      </c>
      <c r="Z65" s="95">
        <f t="shared" si="17"/>
        <v>9.3689259551178452</v>
      </c>
      <c r="AA65" s="338">
        <f t="shared" si="6"/>
        <v>4</v>
      </c>
      <c r="AB65" s="61">
        <f>SUM(L65+X65)</f>
        <v>1152451400</v>
      </c>
      <c r="AC65" s="143">
        <f t="shared" si="7"/>
        <v>80</v>
      </c>
      <c r="AD65" s="39">
        <f t="shared" si="15"/>
        <v>36.145955127599841</v>
      </c>
      <c r="AE65" s="160" t="s">
        <v>281</v>
      </c>
      <c r="AF65" s="98"/>
      <c r="AG65" s="472"/>
      <c r="AH65" s="484"/>
      <c r="AI65" s="484"/>
    </row>
    <row r="66" spans="1:35" ht="84.75" customHeight="1" x14ac:dyDescent="0.25">
      <c r="A66" s="26"/>
      <c r="B66" s="93" t="s">
        <v>139</v>
      </c>
      <c r="C66" s="93" t="s">
        <v>73</v>
      </c>
      <c r="D66" s="93" t="s">
        <v>74</v>
      </c>
      <c r="E66" s="93" t="s">
        <v>83</v>
      </c>
      <c r="F66" s="93" t="s">
        <v>88</v>
      </c>
      <c r="G66" s="28" t="s">
        <v>43</v>
      </c>
      <c r="H66" s="288" t="s">
        <v>130</v>
      </c>
      <c r="I66" s="51">
        <v>5</v>
      </c>
      <c r="J66" s="94">
        <v>848371668</v>
      </c>
      <c r="K66" s="346">
        <v>4</v>
      </c>
      <c r="L66" s="61">
        <f>289967500+88120000</f>
        <v>378087500</v>
      </c>
      <c r="M66" s="33">
        <v>1</v>
      </c>
      <c r="N66" s="59">
        <v>412682329</v>
      </c>
      <c r="O66" s="424"/>
      <c r="P66" s="439">
        <v>25000000</v>
      </c>
      <c r="Q66" s="86"/>
      <c r="R66" s="439"/>
      <c r="S66" s="102"/>
      <c r="T66" s="69"/>
      <c r="U66" s="33"/>
      <c r="V66" s="69"/>
      <c r="W66" s="153">
        <f t="shared" si="14"/>
        <v>0</v>
      </c>
      <c r="X66" s="148">
        <f t="shared" si="16"/>
        <v>25000000</v>
      </c>
      <c r="Y66" s="38">
        <f t="shared" si="4"/>
        <v>0</v>
      </c>
      <c r="Z66" s="95">
        <f t="shared" si="17"/>
        <v>6.0579283975108122</v>
      </c>
      <c r="AA66" s="338">
        <f t="shared" si="6"/>
        <v>4</v>
      </c>
      <c r="AB66" s="61">
        <f t="shared" si="18"/>
        <v>403087500</v>
      </c>
      <c r="AC66" s="143">
        <f t="shared" si="7"/>
        <v>80</v>
      </c>
      <c r="AD66" s="39">
        <f t="shared" si="15"/>
        <v>47.513078902111566</v>
      </c>
      <c r="AE66" s="160" t="s">
        <v>281</v>
      </c>
      <c r="AF66" s="98"/>
      <c r="AG66" s="472"/>
      <c r="AH66" s="484"/>
      <c r="AI66" s="484"/>
    </row>
    <row r="67" spans="1:35" ht="82.5" customHeight="1" x14ac:dyDescent="0.25">
      <c r="A67" s="26"/>
      <c r="B67" s="93" t="s">
        <v>139</v>
      </c>
      <c r="C67" s="93" t="s">
        <v>73</v>
      </c>
      <c r="D67" s="93" t="s">
        <v>74</v>
      </c>
      <c r="E67" s="93" t="s">
        <v>83</v>
      </c>
      <c r="F67" s="93" t="s">
        <v>77</v>
      </c>
      <c r="G67" s="28" t="s">
        <v>44</v>
      </c>
      <c r="H67" s="288" t="s">
        <v>131</v>
      </c>
      <c r="I67" s="51">
        <v>5</v>
      </c>
      <c r="J67" s="94">
        <v>2683924062</v>
      </c>
      <c r="K67" s="346">
        <v>4</v>
      </c>
      <c r="L67" s="261">
        <f>877229150+278890000</f>
        <v>1156119150</v>
      </c>
      <c r="M67" s="33">
        <v>1</v>
      </c>
      <c r="N67" s="59">
        <v>296318900</v>
      </c>
      <c r="O67" s="86">
        <v>0</v>
      </c>
      <c r="P67" s="439">
        <v>0</v>
      </c>
      <c r="Q67" s="86"/>
      <c r="R67" s="439"/>
      <c r="S67" s="102"/>
      <c r="T67" s="69"/>
      <c r="U67" s="33"/>
      <c r="V67" s="69"/>
      <c r="W67" s="153">
        <f t="shared" si="14"/>
        <v>0</v>
      </c>
      <c r="X67" s="148">
        <f t="shared" si="16"/>
        <v>0</v>
      </c>
      <c r="Y67" s="38">
        <f t="shared" si="4"/>
        <v>0</v>
      </c>
      <c r="Z67" s="95">
        <f t="shared" si="17"/>
        <v>0</v>
      </c>
      <c r="AA67" s="338">
        <f t="shared" si="6"/>
        <v>4</v>
      </c>
      <c r="AB67" s="61">
        <f>SUM(L67+X67)</f>
        <v>1156119150</v>
      </c>
      <c r="AC67" s="143">
        <f t="shared" si="7"/>
        <v>80</v>
      </c>
      <c r="AD67" s="39">
        <f t="shared" si="15"/>
        <v>43.075702713380274</v>
      </c>
      <c r="AE67" s="160" t="s">
        <v>281</v>
      </c>
      <c r="AF67" s="98"/>
      <c r="AG67" s="472"/>
      <c r="AH67" s="484"/>
      <c r="AI67" s="484"/>
    </row>
    <row r="68" spans="1:35" ht="98.25" customHeight="1" x14ac:dyDescent="0.25">
      <c r="A68" s="26"/>
      <c r="B68" s="93" t="s">
        <v>139</v>
      </c>
      <c r="C68" s="93" t="s">
        <v>73</v>
      </c>
      <c r="D68" s="93" t="s">
        <v>74</v>
      </c>
      <c r="E68" s="93" t="s">
        <v>83</v>
      </c>
      <c r="F68" s="93" t="s">
        <v>89</v>
      </c>
      <c r="G68" s="28" t="s">
        <v>45</v>
      </c>
      <c r="H68" s="288" t="s">
        <v>131</v>
      </c>
      <c r="I68" s="51">
        <v>5</v>
      </c>
      <c r="J68" s="57">
        <v>747462500</v>
      </c>
      <c r="K68" s="346">
        <f>3+1</f>
        <v>4</v>
      </c>
      <c r="L68" s="61">
        <f>328580000+173350000</f>
        <v>501930000</v>
      </c>
      <c r="M68" s="33">
        <v>1</v>
      </c>
      <c r="N68" s="59">
        <v>331985880</v>
      </c>
      <c r="O68" s="103">
        <v>0</v>
      </c>
      <c r="P68" s="439">
        <v>0</v>
      </c>
      <c r="Q68" s="86"/>
      <c r="R68" s="439"/>
      <c r="S68" s="176"/>
      <c r="T68" s="99"/>
      <c r="U68" s="99"/>
      <c r="V68" s="99"/>
      <c r="W68" s="153">
        <f t="shared" si="14"/>
        <v>0</v>
      </c>
      <c r="X68" s="148">
        <f t="shared" si="16"/>
        <v>0</v>
      </c>
      <c r="Y68" s="38">
        <f t="shared" si="4"/>
        <v>0</v>
      </c>
      <c r="Z68" s="95">
        <f t="shared" si="17"/>
        <v>0</v>
      </c>
      <c r="AA68" s="338">
        <f t="shared" si="6"/>
        <v>4</v>
      </c>
      <c r="AB68" s="61">
        <f t="shared" si="18"/>
        <v>501930000</v>
      </c>
      <c r="AC68" s="143">
        <f t="shared" si="7"/>
        <v>80</v>
      </c>
      <c r="AD68" s="39">
        <f t="shared" si="15"/>
        <v>67.15119487599712</v>
      </c>
      <c r="AE68" s="160" t="s">
        <v>281</v>
      </c>
      <c r="AF68" s="98"/>
      <c r="AG68" s="472"/>
      <c r="AH68" s="484"/>
      <c r="AI68" s="484"/>
    </row>
    <row r="69" spans="1:35" ht="113.25" customHeight="1" x14ac:dyDescent="0.25">
      <c r="A69" s="26"/>
      <c r="B69" s="93" t="s">
        <v>139</v>
      </c>
      <c r="C69" s="93" t="s">
        <v>73</v>
      </c>
      <c r="D69" s="93" t="s">
        <v>74</v>
      </c>
      <c r="E69" s="93" t="s">
        <v>83</v>
      </c>
      <c r="F69" s="93" t="s">
        <v>78</v>
      </c>
      <c r="G69" s="28" t="s">
        <v>46</v>
      </c>
      <c r="H69" s="288" t="s">
        <v>132</v>
      </c>
      <c r="I69" s="51">
        <v>5</v>
      </c>
      <c r="J69" s="57">
        <v>2205195500</v>
      </c>
      <c r="K69" s="346">
        <v>4</v>
      </c>
      <c r="L69" s="61">
        <f>715543490+71320900</f>
        <v>786864390</v>
      </c>
      <c r="M69" s="33">
        <v>1</v>
      </c>
      <c r="N69" s="59">
        <v>77953471</v>
      </c>
      <c r="O69" s="86">
        <v>0</v>
      </c>
      <c r="P69" s="439">
        <v>0</v>
      </c>
      <c r="Q69" s="86"/>
      <c r="R69" s="439"/>
      <c r="S69" s="102"/>
      <c r="T69" s="69"/>
      <c r="U69" s="69"/>
      <c r="V69" s="69"/>
      <c r="W69" s="153">
        <f t="shared" si="14"/>
        <v>0</v>
      </c>
      <c r="X69" s="148">
        <f t="shared" si="16"/>
        <v>0</v>
      </c>
      <c r="Y69" s="38">
        <f t="shared" si="4"/>
        <v>0</v>
      </c>
      <c r="Z69" s="95">
        <f t="shared" si="17"/>
        <v>0</v>
      </c>
      <c r="AA69" s="338">
        <f t="shared" si="6"/>
        <v>4</v>
      </c>
      <c r="AB69" s="61">
        <f t="shared" si="18"/>
        <v>786864390</v>
      </c>
      <c r="AC69" s="143">
        <f t="shared" si="7"/>
        <v>80</v>
      </c>
      <c r="AD69" s="39">
        <f t="shared" si="15"/>
        <v>35.682296195507384</v>
      </c>
      <c r="AE69" s="160" t="s">
        <v>281</v>
      </c>
      <c r="AF69" s="98"/>
      <c r="AG69" s="472"/>
      <c r="AH69" s="484"/>
      <c r="AI69" s="484"/>
    </row>
    <row r="70" spans="1:35" ht="126" customHeight="1" x14ac:dyDescent="0.25">
      <c r="A70" s="26"/>
      <c r="B70" s="93" t="s">
        <v>139</v>
      </c>
      <c r="C70" s="93" t="s">
        <v>73</v>
      </c>
      <c r="D70" s="93" t="s">
        <v>74</v>
      </c>
      <c r="E70" s="93" t="s">
        <v>83</v>
      </c>
      <c r="F70" s="93" t="s">
        <v>79</v>
      </c>
      <c r="G70" s="28" t="s">
        <v>48</v>
      </c>
      <c r="H70" s="288" t="s">
        <v>47</v>
      </c>
      <c r="I70" s="33">
        <v>5</v>
      </c>
      <c r="J70" s="79">
        <v>358552523</v>
      </c>
      <c r="K70" s="346">
        <f>3+1</f>
        <v>4</v>
      </c>
      <c r="L70" s="61">
        <f>130780000+32240000</f>
        <v>163020000</v>
      </c>
      <c r="M70" s="33">
        <v>1</v>
      </c>
      <c r="N70" s="59">
        <v>38384665</v>
      </c>
      <c r="O70" s="86">
        <v>0</v>
      </c>
      <c r="P70" s="439">
        <v>0</v>
      </c>
      <c r="Q70" s="86"/>
      <c r="R70" s="439"/>
      <c r="S70" s="102"/>
      <c r="T70" s="69"/>
      <c r="U70" s="69"/>
      <c r="V70" s="69"/>
      <c r="W70" s="153">
        <f t="shared" si="14"/>
        <v>0</v>
      </c>
      <c r="X70" s="148">
        <f t="shared" si="16"/>
        <v>0</v>
      </c>
      <c r="Y70" s="38">
        <f t="shared" si="4"/>
        <v>0</v>
      </c>
      <c r="Z70" s="95">
        <f t="shared" si="17"/>
        <v>0</v>
      </c>
      <c r="AA70" s="338">
        <f t="shared" si="6"/>
        <v>4</v>
      </c>
      <c r="AB70" s="61">
        <f t="shared" si="18"/>
        <v>163020000</v>
      </c>
      <c r="AC70" s="143">
        <f t="shared" si="7"/>
        <v>80</v>
      </c>
      <c r="AD70" s="39">
        <f t="shared" si="15"/>
        <v>45.466142208682768</v>
      </c>
      <c r="AE70" s="160" t="s">
        <v>281</v>
      </c>
      <c r="AF70" s="98"/>
      <c r="AG70" s="472"/>
      <c r="AH70" s="484"/>
      <c r="AI70" s="484"/>
    </row>
    <row r="71" spans="1:35" ht="72.75" customHeight="1" x14ac:dyDescent="0.25">
      <c r="A71" s="26"/>
      <c r="B71" s="93" t="s">
        <v>139</v>
      </c>
      <c r="C71" s="93" t="s">
        <v>73</v>
      </c>
      <c r="D71" s="93" t="s">
        <v>74</v>
      </c>
      <c r="E71" s="93" t="s">
        <v>83</v>
      </c>
      <c r="F71" s="93">
        <v>13</v>
      </c>
      <c r="G71" s="28" t="s">
        <v>184</v>
      </c>
      <c r="H71" s="288" t="s">
        <v>185</v>
      </c>
      <c r="I71" s="51">
        <v>8</v>
      </c>
      <c r="J71" s="51">
        <v>1873101750</v>
      </c>
      <c r="K71" s="357">
        <v>7</v>
      </c>
      <c r="L71" s="67">
        <f>1038349303+131281000</f>
        <v>1169630303</v>
      </c>
      <c r="M71" s="33">
        <v>1</v>
      </c>
      <c r="N71" s="59">
        <v>139532300</v>
      </c>
      <c r="O71" s="86">
        <v>0</v>
      </c>
      <c r="P71" s="439">
        <v>0</v>
      </c>
      <c r="Q71" s="86"/>
      <c r="R71" s="439"/>
      <c r="S71" s="92"/>
      <c r="T71" s="69"/>
      <c r="U71" s="33"/>
      <c r="V71" s="69"/>
      <c r="W71" s="153">
        <f t="shared" si="14"/>
        <v>0</v>
      </c>
      <c r="X71" s="148">
        <f t="shared" si="16"/>
        <v>0</v>
      </c>
      <c r="Y71" s="38">
        <f t="shared" si="4"/>
        <v>0</v>
      </c>
      <c r="Z71" s="95">
        <f t="shared" si="17"/>
        <v>0</v>
      </c>
      <c r="AA71" s="338">
        <f t="shared" si="6"/>
        <v>7</v>
      </c>
      <c r="AB71" s="61">
        <f t="shared" si="18"/>
        <v>1169630303</v>
      </c>
      <c r="AC71" s="143">
        <f t="shared" si="7"/>
        <v>87.5</v>
      </c>
      <c r="AD71" s="39">
        <f t="shared" si="15"/>
        <v>62.443500626701145</v>
      </c>
      <c r="AE71" s="160" t="s">
        <v>281</v>
      </c>
      <c r="AF71" s="98"/>
      <c r="AG71" s="472"/>
      <c r="AH71" s="484"/>
      <c r="AI71" s="484"/>
    </row>
    <row r="72" spans="1:35" ht="85.5" customHeight="1" x14ac:dyDescent="0.25">
      <c r="A72" s="26"/>
      <c r="B72" s="93" t="s">
        <v>139</v>
      </c>
      <c r="C72" s="93" t="s">
        <v>73</v>
      </c>
      <c r="D72" s="93" t="s">
        <v>74</v>
      </c>
      <c r="E72" s="93" t="s">
        <v>83</v>
      </c>
      <c r="F72" s="93" t="s">
        <v>143</v>
      </c>
      <c r="G72" s="28" t="s">
        <v>50</v>
      </c>
      <c r="H72" s="288" t="s">
        <v>49</v>
      </c>
      <c r="I72" s="51">
        <v>17</v>
      </c>
      <c r="J72" s="57">
        <v>1764390000</v>
      </c>
      <c r="K72" s="346">
        <v>13</v>
      </c>
      <c r="L72" s="61">
        <f>752093078+432652284</f>
        <v>1184745362</v>
      </c>
      <c r="M72" s="33">
        <v>2</v>
      </c>
      <c r="N72" s="59">
        <v>341340000</v>
      </c>
      <c r="O72" s="86"/>
      <c r="P72" s="439">
        <v>11008640</v>
      </c>
      <c r="Q72" s="86"/>
      <c r="R72" s="439"/>
      <c r="S72" s="70"/>
      <c r="T72" s="69"/>
      <c r="U72" s="70"/>
      <c r="V72" s="69"/>
      <c r="W72" s="153">
        <f t="shared" si="14"/>
        <v>0</v>
      </c>
      <c r="X72" s="148">
        <f t="shared" si="16"/>
        <v>11008640</v>
      </c>
      <c r="Y72" s="38">
        <f t="shared" si="4"/>
        <v>0</v>
      </c>
      <c r="Z72" s="95">
        <f t="shared" si="17"/>
        <v>3.2251245092869278</v>
      </c>
      <c r="AA72" s="338">
        <f t="shared" si="6"/>
        <v>13</v>
      </c>
      <c r="AB72" s="61">
        <f>SUM(L72+X72)</f>
        <v>1195754002</v>
      </c>
      <c r="AC72" s="143">
        <f t="shared" si="7"/>
        <v>76.470588235294116</v>
      </c>
      <c r="AD72" s="39">
        <f t="shared" si="15"/>
        <v>67.771524549561036</v>
      </c>
      <c r="AE72" s="160" t="s">
        <v>281</v>
      </c>
      <c r="AF72" s="98"/>
      <c r="AG72" s="472"/>
      <c r="AH72" s="488"/>
      <c r="AI72" s="484"/>
    </row>
    <row r="73" spans="1:35" ht="111" customHeight="1" x14ac:dyDescent="0.25">
      <c r="A73" s="26"/>
      <c r="B73" s="93" t="s">
        <v>139</v>
      </c>
      <c r="C73" s="93" t="s">
        <v>73</v>
      </c>
      <c r="D73" s="93" t="s">
        <v>74</v>
      </c>
      <c r="E73" s="93" t="s">
        <v>83</v>
      </c>
      <c r="F73" s="93" t="s">
        <v>82</v>
      </c>
      <c r="G73" s="100" t="s">
        <v>52</v>
      </c>
      <c r="H73" s="288" t="s">
        <v>51</v>
      </c>
      <c r="I73" s="51">
        <v>20</v>
      </c>
      <c r="J73" s="57">
        <v>4104580832</v>
      </c>
      <c r="K73" s="346">
        <v>16</v>
      </c>
      <c r="L73" s="61">
        <f>1352919830+331890500</f>
        <v>1684810330</v>
      </c>
      <c r="M73" s="33">
        <v>2</v>
      </c>
      <c r="N73" s="59">
        <v>189188876</v>
      </c>
      <c r="O73" s="424">
        <v>0</v>
      </c>
      <c r="P73" s="439">
        <v>0</v>
      </c>
      <c r="Q73" s="86"/>
      <c r="R73" s="439"/>
      <c r="S73" s="71"/>
      <c r="T73" s="69"/>
      <c r="U73" s="72"/>
      <c r="V73" s="69"/>
      <c r="W73" s="153">
        <f t="shared" si="14"/>
        <v>0</v>
      </c>
      <c r="X73" s="148">
        <f t="shared" si="16"/>
        <v>0</v>
      </c>
      <c r="Y73" s="38">
        <f t="shared" si="4"/>
        <v>0</v>
      </c>
      <c r="Z73" s="95">
        <f t="shared" si="17"/>
        <v>0</v>
      </c>
      <c r="AA73" s="338">
        <f t="shared" si="6"/>
        <v>16</v>
      </c>
      <c r="AB73" s="61">
        <f t="shared" ref="AB73:AB118" si="19">SUM(L73+X73)</f>
        <v>1684810330</v>
      </c>
      <c r="AC73" s="143">
        <f t="shared" si="7"/>
        <v>80</v>
      </c>
      <c r="AD73" s="39">
        <f t="shared" si="15"/>
        <v>41.047073963434613</v>
      </c>
      <c r="AE73" s="160" t="s">
        <v>281</v>
      </c>
      <c r="AF73" s="98"/>
      <c r="AG73" s="472"/>
      <c r="AH73" s="484"/>
      <c r="AI73" s="484"/>
    </row>
    <row r="74" spans="1:35" s="163" customFormat="1" ht="73.5" hidden="1" customHeight="1" x14ac:dyDescent="0.25">
      <c r="A74" s="162"/>
      <c r="B74" s="299" t="s">
        <v>139</v>
      </c>
      <c r="C74" s="299" t="s">
        <v>73</v>
      </c>
      <c r="D74" s="299" t="s">
        <v>74</v>
      </c>
      <c r="E74" s="299" t="s">
        <v>83</v>
      </c>
      <c r="F74" s="299" t="s">
        <v>144</v>
      </c>
      <c r="G74" s="28" t="s">
        <v>54</v>
      </c>
      <c r="H74" s="288" t="s">
        <v>53</v>
      </c>
      <c r="I74" s="33">
        <v>12</v>
      </c>
      <c r="J74" s="79">
        <v>1631635500</v>
      </c>
      <c r="K74" s="353">
        <v>12</v>
      </c>
      <c r="L74" s="58">
        <v>973817078</v>
      </c>
      <c r="M74" s="92"/>
      <c r="N74" s="101"/>
      <c r="O74" s="268"/>
      <c r="P74" s="407"/>
      <c r="Q74" s="387"/>
      <c r="R74" s="408"/>
      <c r="S74" s="276"/>
      <c r="T74" s="58"/>
      <c r="U74" s="58"/>
      <c r="V74" s="66"/>
      <c r="W74" s="153">
        <f t="shared" si="14"/>
        <v>0</v>
      </c>
      <c r="X74" s="148">
        <f t="shared" si="16"/>
        <v>0</v>
      </c>
      <c r="Y74" s="38" t="e">
        <f t="shared" si="4"/>
        <v>#DIV/0!</v>
      </c>
      <c r="Z74" s="95" t="e">
        <f t="shared" ref="Z74:Z76" si="20">SUM(X74/N74)*100</f>
        <v>#DIV/0!</v>
      </c>
      <c r="AA74" s="338">
        <f t="shared" ref="AA74:AA75" si="21">SUM(K74+W74)</f>
        <v>12</v>
      </c>
      <c r="AB74" s="61">
        <f t="shared" si="19"/>
        <v>973817078</v>
      </c>
      <c r="AC74" s="143">
        <f t="shared" ref="AC74:AC75" si="22">SUM(AA74/I74*100)</f>
        <v>100</v>
      </c>
      <c r="AD74" s="39">
        <f t="shared" ref="AD74:AD75" si="23">SUM(AB74/J74)*100</f>
        <v>59.683494138243496</v>
      </c>
      <c r="AE74" s="160" t="s">
        <v>281</v>
      </c>
      <c r="AF74" s="300"/>
      <c r="AG74" s="482"/>
      <c r="AH74" s="486"/>
      <c r="AI74" s="486"/>
    </row>
    <row r="75" spans="1:35" s="163" customFormat="1" ht="73.5" customHeight="1" x14ac:dyDescent="0.25">
      <c r="A75" s="162"/>
      <c r="B75" s="93" t="s">
        <v>139</v>
      </c>
      <c r="C75" s="93" t="s">
        <v>73</v>
      </c>
      <c r="D75" s="93" t="s">
        <v>74</v>
      </c>
      <c r="E75" s="93" t="s">
        <v>83</v>
      </c>
      <c r="F75" s="93" t="s">
        <v>278</v>
      </c>
      <c r="G75" s="100" t="s">
        <v>279</v>
      </c>
      <c r="H75" s="288" t="s">
        <v>280</v>
      </c>
      <c r="I75" s="51">
        <v>36</v>
      </c>
      <c r="J75" s="79">
        <v>13088914341</v>
      </c>
      <c r="K75" s="353">
        <v>33</v>
      </c>
      <c r="L75" s="58">
        <f>5061722500+1019470000</f>
        <v>6081192500</v>
      </c>
      <c r="M75" s="92">
        <v>3</v>
      </c>
      <c r="N75" s="101">
        <v>541894073</v>
      </c>
      <c r="O75" s="86">
        <v>0</v>
      </c>
      <c r="P75" s="440">
        <v>40455000</v>
      </c>
      <c r="Q75" s="424"/>
      <c r="R75" s="440"/>
      <c r="S75" s="276"/>
      <c r="T75" s="58"/>
      <c r="U75" s="58"/>
      <c r="V75" s="66"/>
      <c r="W75" s="153">
        <f t="shared" si="14"/>
        <v>0</v>
      </c>
      <c r="X75" s="148">
        <f t="shared" si="16"/>
        <v>40455000</v>
      </c>
      <c r="Y75" s="38">
        <f t="shared" si="4"/>
        <v>0</v>
      </c>
      <c r="Z75" s="95">
        <f t="shared" si="20"/>
        <v>7.4654811734765003</v>
      </c>
      <c r="AA75" s="338">
        <f t="shared" si="21"/>
        <v>33</v>
      </c>
      <c r="AB75" s="61">
        <f t="shared" si="19"/>
        <v>6121647500</v>
      </c>
      <c r="AC75" s="143">
        <f t="shared" si="22"/>
        <v>91.666666666666657</v>
      </c>
      <c r="AD75" s="39">
        <f t="shared" si="23"/>
        <v>46.769711685135093</v>
      </c>
      <c r="AE75" s="160" t="s">
        <v>281</v>
      </c>
      <c r="AF75" s="300"/>
      <c r="AG75" s="482"/>
      <c r="AH75" s="486"/>
      <c r="AI75" s="486"/>
    </row>
    <row r="76" spans="1:35" s="163" customFormat="1" ht="216.75" customHeight="1" x14ac:dyDescent="0.25">
      <c r="A76" s="162"/>
      <c r="B76" s="93" t="s">
        <v>274</v>
      </c>
      <c r="C76" s="93" t="s">
        <v>73</v>
      </c>
      <c r="D76" s="93" t="s">
        <v>74</v>
      </c>
      <c r="E76" s="93" t="s">
        <v>83</v>
      </c>
      <c r="F76" s="93" t="s">
        <v>144</v>
      </c>
      <c r="G76" s="28" t="s">
        <v>54</v>
      </c>
      <c r="H76" s="511" t="s">
        <v>417</v>
      </c>
      <c r="I76" s="51" t="s">
        <v>416</v>
      </c>
      <c r="J76" s="79">
        <v>1631635500</v>
      </c>
      <c r="K76" s="505" t="s">
        <v>416</v>
      </c>
      <c r="L76" s="506">
        <v>973817078</v>
      </c>
      <c r="M76" s="92">
        <v>0</v>
      </c>
      <c r="N76" s="101">
        <v>0</v>
      </c>
      <c r="O76" s="86">
        <v>0</v>
      </c>
      <c r="P76" s="440">
        <v>0</v>
      </c>
      <c r="Q76" s="424"/>
      <c r="R76" s="440"/>
      <c r="S76" s="276"/>
      <c r="T76" s="58"/>
      <c r="U76" s="58"/>
      <c r="V76" s="66"/>
      <c r="W76" s="153">
        <v>0</v>
      </c>
      <c r="X76" s="148">
        <v>0</v>
      </c>
      <c r="Y76" s="38" t="e">
        <f t="shared" ref="Y76" si="24">SUM(W76/M76*100)</f>
        <v>#DIV/0!</v>
      </c>
      <c r="Z76" s="95" t="e">
        <f t="shared" si="20"/>
        <v>#DIV/0!</v>
      </c>
      <c r="AA76" s="505" t="s">
        <v>416</v>
      </c>
      <c r="AB76" s="61">
        <f t="shared" ref="AB76" si="25">SUM(L76+X76)</f>
        <v>973817078</v>
      </c>
      <c r="AC76" s="143">
        <v>100</v>
      </c>
      <c r="AD76" s="39">
        <f t="shared" ref="AD76" si="26">SUM(AB76/J76)*100</f>
        <v>59.683494138243496</v>
      </c>
      <c r="AE76" s="160"/>
      <c r="AF76" s="300"/>
      <c r="AG76" s="482"/>
      <c r="AH76" s="486"/>
      <c r="AI76" s="486"/>
    </row>
    <row r="77" spans="1:35" s="163" customFormat="1" ht="84" customHeight="1" x14ac:dyDescent="0.25">
      <c r="A77" s="162"/>
      <c r="B77" s="299" t="s">
        <v>139</v>
      </c>
      <c r="C77" s="299" t="s">
        <v>73</v>
      </c>
      <c r="D77" s="299" t="s">
        <v>74</v>
      </c>
      <c r="E77" s="299" t="s">
        <v>83</v>
      </c>
      <c r="F77" s="299" t="s">
        <v>85</v>
      </c>
      <c r="G77" s="28" t="s">
        <v>56</v>
      </c>
      <c r="H77" s="288" t="s">
        <v>55</v>
      </c>
      <c r="I77" s="33">
        <v>22</v>
      </c>
      <c r="J77" s="79">
        <v>3429356772</v>
      </c>
      <c r="K77" s="358">
        <v>15</v>
      </c>
      <c r="L77" s="58">
        <f>1536785340+439283430</f>
        <v>1976068770</v>
      </c>
      <c r="M77" s="92">
        <v>7</v>
      </c>
      <c r="N77" s="34">
        <v>412540000</v>
      </c>
      <c r="O77" s="86"/>
      <c r="P77" s="439">
        <v>112004982</v>
      </c>
      <c r="Q77" s="86"/>
      <c r="R77" s="439"/>
      <c r="S77" s="68"/>
      <c r="T77" s="58"/>
      <c r="U77" s="68"/>
      <c r="V77" s="58"/>
      <c r="W77" s="45">
        <f t="shared" si="14"/>
        <v>0</v>
      </c>
      <c r="X77" s="32">
        <f t="shared" si="16"/>
        <v>112004982</v>
      </c>
      <c r="Y77" s="38">
        <f t="shared" si="4"/>
        <v>0</v>
      </c>
      <c r="Z77" s="168">
        <f t="shared" si="17"/>
        <v>27.150090173074126</v>
      </c>
      <c r="AA77" s="338">
        <f t="shared" si="6"/>
        <v>15</v>
      </c>
      <c r="AB77" s="58">
        <f t="shared" si="19"/>
        <v>2088073752</v>
      </c>
      <c r="AC77" s="143">
        <f t="shared" si="7"/>
        <v>68.181818181818173</v>
      </c>
      <c r="AD77" s="159">
        <f t="shared" ref="AD77:AD118" si="27">SUM(AB77/J77)*100</f>
        <v>60.888204139292156</v>
      </c>
      <c r="AE77" s="160" t="s">
        <v>281</v>
      </c>
      <c r="AF77" s="304"/>
      <c r="AG77" s="478"/>
      <c r="AH77" s="486"/>
      <c r="AI77" s="486"/>
    </row>
    <row r="78" spans="1:35" s="163" customFormat="1" ht="113.25" customHeight="1" x14ac:dyDescent="0.25">
      <c r="A78" s="162"/>
      <c r="B78" s="299" t="s">
        <v>139</v>
      </c>
      <c r="C78" s="299" t="s">
        <v>73</v>
      </c>
      <c r="D78" s="299" t="s">
        <v>74</v>
      </c>
      <c r="E78" s="299" t="s">
        <v>83</v>
      </c>
      <c r="F78" s="299" t="s">
        <v>90</v>
      </c>
      <c r="G78" s="49" t="s">
        <v>58</v>
      </c>
      <c r="H78" s="288" t="s">
        <v>57</v>
      </c>
      <c r="I78" s="33">
        <v>32</v>
      </c>
      <c r="J78" s="79">
        <v>550580000</v>
      </c>
      <c r="K78" s="353">
        <v>32</v>
      </c>
      <c r="L78" s="58">
        <v>429320000</v>
      </c>
      <c r="M78" s="306">
        <v>0</v>
      </c>
      <c r="N78" s="66">
        <v>0</v>
      </c>
      <c r="O78" s="263"/>
      <c r="P78" s="400"/>
      <c r="Q78" s="387"/>
      <c r="R78" s="402"/>
      <c r="S78" s="276"/>
      <c r="T78" s="58"/>
      <c r="U78" s="66"/>
      <c r="V78" s="66"/>
      <c r="W78" s="153">
        <f t="shared" si="14"/>
        <v>0</v>
      </c>
      <c r="X78" s="50">
        <v>0</v>
      </c>
      <c r="Y78" s="38" t="e">
        <f t="shared" si="4"/>
        <v>#DIV/0!</v>
      </c>
      <c r="Z78" s="168">
        <v>0</v>
      </c>
      <c r="AA78" s="338">
        <f t="shared" si="6"/>
        <v>32</v>
      </c>
      <c r="AB78" s="58">
        <f t="shared" si="19"/>
        <v>429320000</v>
      </c>
      <c r="AC78" s="143">
        <f t="shared" si="7"/>
        <v>100</v>
      </c>
      <c r="AD78" s="159">
        <f t="shared" si="27"/>
        <v>77.975952631770127</v>
      </c>
      <c r="AE78" s="160" t="s">
        <v>281</v>
      </c>
      <c r="AF78" s="304"/>
      <c r="AG78" s="478"/>
      <c r="AH78" s="486"/>
      <c r="AI78" s="486"/>
    </row>
    <row r="79" spans="1:35" s="163" customFormat="1" ht="74.25" customHeight="1" x14ac:dyDescent="0.25">
      <c r="A79" s="162"/>
      <c r="B79" s="299" t="s">
        <v>139</v>
      </c>
      <c r="C79" s="299" t="s">
        <v>73</v>
      </c>
      <c r="D79" s="299" t="s">
        <v>74</v>
      </c>
      <c r="E79" s="299" t="s">
        <v>83</v>
      </c>
      <c r="F79" s="299" t="s">
        <v>145</v>
      </c>
      <c r="G79" s="28" t="s">
        <v>60</v>
      </c>
      <c r="H79" s="288" t="s">
        <v>59</v>
      </c>
      <c r="I79" s="33">
        <v>37</v>
      </c>
      <c r="J79" s="307">
        <v>2709321278</v>
      </c>
      <c r="K79" s="353">
        <v>28</v>
      </c>
      <c r="L79" s="58">
        <f>870041500+191251100</f>
        <v>1061292600</v>
      </c>
      <c r="M79" s="33">
        <v>3</v>
      </c>
      <c r="N79" s="34">
        <v>351260000</v>
      </c>
      <c r="O79" s="86">
        <v>0</v>
      </c>
      <c r="P79" s="439">
        <v>0</v>
      </c>
      <c r="Q79" s="86"/>
      <c r="R79" s="439"/>
      <c r="S79" s="73"/>
      <c r="T79" s="58"/>
      <c r="U79" s="68"/>
      <c r="V79" s="58"/>
      <c r="W79" s="153">
        <f t="shared" si="14"/>
        <v>0</v>
      </c>
      <c r="X79" s="32">
        <f>SUM(P79+R79+T79+V79)</f>
        <v>0</v>
      </c>
      <c r="Y79" s="38">
        <f t="shared" si="4"/>
        <v>0</v>
      </c>
      <c r="Z79" s="168">
        <f t="shared" si="17"/>
        <v>0</v>
      </c>
      <c r="AA79" s="338">
        <f t="shared" si="6"/>
        <v>28</v>
      </c>
      <c r="AB79" s="58">
        <f t="shared" si="19"/>
        <v>1061292600</v>
      </c>
      <c r="AC79" s="143">
        <f t="shared" si="7"/>
        <v>75.675675675675677</v>
      </c>
      <c r="AD79" s="159">
        <f t="shared" si="27"/>
        <v>39.17189919917648</v>
      </c>
      <c r="AE79" s="160" t="s">
        <v>281</v>
      </c>
      <c r="AF79" s="304"/>
      <c r="AG79" s="478"/>
      <c r="AH79" s="486"/>
      <c r="AI79" s="486"/>
    </row>
    <row r="80" spans="1:35" s="163" customFormat="1" ht="87" customHeight="1" x14ac:dyDescent="0.25">
      <c r="A80" s="162"/>
      <c r="B80" s="299" t="s">
        <v>139</v>
      </c>
      <c r="C80" s="299" t="s">
        <v>73</v>
      </c>
      <c r="D80" s="299" t="s">
        <v>74</v>
      </c>
      <c r="E80" s="299" t="s">
        <v>83</v>
      </c>
      <c r="F80" s="299" t="s">
        <v>146</v>
      </c>
      <c r="G80" s="28" t="s">
        <v>105</v>
      </c>
      <c r="H80" s="288" t="s">
        <v>61</v>
      </c>
      <c r="I80" s="33">
        <v>5</v>
      </c>
      <c r="J80" s="507">
        <v>4115783691</v>
      </c>
      <c r="K80" s="359">
        <v>4</v>
      </c>
      <c r="L80" s="58">
        <f>1426833000+362430900</f>
        <v>1789263900</v>
      </c>
      <c r="M80" s="33">
        <v>1</v>
      </c>
      <c r="N80" s="34">
        <v>308990300</v>
      </c>
      <c r="O80" s="424"/>
      <c r="P80" s="439">
        <v>153220750</v>
      </c>
      <c r="Q80" s="86"/>
      <c r="R80" s="439"/>
      <c r="S80" s="274"/>
      <c r="T80" s="58"/>
      <c r="U80" s="68"/>
      <c r="V80" s="58"/>
      <c r="W80" s="153">
        <f t="shared" si="14"/>
        <v>0</v>
      </c>
      <c r="X80" s="32">
        <f>SUM(P80+R80+T80+V80)</f>
        <v>153220750</v>
      </c>
      <c r="Y80" s="38">
        <f t="shared" si="4"/>
        <v>0</v>
      </c>
      <c r="Z80" s="168">
        <f t="shared" si="17"/>
        <v>49.587559868384218</v>
      </c>
      <c r="AA80" s="338">
        <f t="shared" si="6"/>
        <v>4</v>
      </c>
      <c r="AB80" s="58">
        <f t="shared" si="19"/>
        <v>1942484650</v>
      </c>
      <c r="AC80" s="143">
        <f t="shared" si="7"/>
        <v>80</v>
      </c>
      <c r="AD80" s="159">
        <f t="shared" si="27"/>
        <v>47.195984916496911</v>
      </c>
      <c r="AE80" s="160" t="s">
        <v>281</v>
      </c>
      <c r="AF80" s="304"/>
      <c r="AG80" s="478"/>
      <c r="AH80" s="486"/>
      <c r="AI80" s="486"/>
    </row>
    <row r="81" spans="1:35" s="163" customFormat="1" ht="86.25" customHeight="1" x14ac:dyDescent="0.25">
      <c r="A81" s="162"/>
      <c r="B81" s="299" t="s">
        <v>139</v>
      </c>
      <c r="C81" s="299" t="s">
        <v>73</v>
      </c>
      <c r="D81" s="299" t="s">
        <v>74</v>
      </c>
      <c r="E81" s="299" t="s">
        <v>83</v>
      </c>
      <c r="F81" s="299" t="s">
        <v>147</v>
      </c>
      <c r="G81" s="28" t="s">
        <v>63</v>
      </c>
      <c r="H81" s="288" t="s">
        <v>62</v>
      </c>
      <c r="I81" s="33">
        <v>5</v>
      </c>
      <c r="J81" s="507">
        <v>1932142048</v>
      </c>
      <c r="K81" s="353">
        <v>4</v>
      </c>
      <c r="L81" s="58">
        <f>524441350+161933720</f>
        <v>686375070</v>
      </c>
      <c r="M81" s="33">
        <v>1</v>
      </c>
      <c r="N81" s="34">
        <v>266500000</v>
      </c>
      <c r="O81" s="424">
        <v>0</v>
      </c>
      <c r="P81" s="440">
        <v>0</v>
      </c>
      <c r="Q81" s="86"/>
      <c r="R81" s="439"/>
      <c r="S81" s="33"/>
      <c r="T81" s="58"/>
      <c r="U81" s="66"/>
      <c r="V81" s="66"/>
      <c r="W81" s="153">
        <f t="shared" si="14"/>
        <v>0</v>
      </c>
      <c r="X81" s="32">
        <f>SUM(P81+R81+T81+V81)</f>
        <v>0</v>
      </c>
      <c r="Y81" s="38">
        <f t="shared" si="4"/>
        <v>0</v>
      </c>
      <c r="Z81" s="168">
        <f t="shared" si="17"/>
        <v>0</v>
      </c>
      <c r="AA81" s="338">
        <f t="shared" si="6"/>
        <v>4</v>
      </c>
      <c r="AB81" s="58">
        <f t="shared" si="19"/>
        <v>686375070</v>
      </c>
      <c r="AC81" s="143">
        <f t="shared" si="7"/>
        <v>80</v>
      </c>
      <c r="AD81" s="159">
        <f t="shared" si="27"/>
        <v>35.524048074544048</v>
      </c>
      <c r="AE81" s="160" t="s">
        <v>281</v>
      </c>
      <c r="AF81" s="308"/>
      <c r="AG81" s="478"/>
      <c r="AH81" s="486"/>
      <c r="AI81" s="486"/>
    </row>
    <row r="82" spans="1:35" s="163" customFormat="1" ht="86.25" customHeight="1" x14ac:dyDescent="0.25">
      <c r="A82" s="162"/>
      <c r="B82" s="299" t="s">
        <v>139</v>
      </c>
      <c r="C82" s="299" t="s">
        <v>73</v>
      </c>
      <c r="D82" s="299" t="s">
        <v>74</v>
      </c>
      <c r="E82" s="299" t="s">
        <v>83</v>
      </c>
      <c r="F82" s="299" t="s">
        <v>148</v>
      </c>
      <c r="G82" s="28" t="s">
        <v>65</v>
      </c>
      <c r="H82" s="288" t="s">
        <v>64</v>
      </c>
      <c r="I82" s="33">
        <v>42</v>
      </c>
      <c r="J82" s="79">
        <v>1712351000</v>
      </c>
      <c r="K82" s="353">
        <v>24</v>
      </c>
      <c r="L82" s="58">
        <f>802702042+281993965</f>
        <v>1084696007</v>
      </c>
      <c r="M82" s="33">
        <v>18</v>
      </c>
      <c r="N82" s="34">
        <v>394282000</v>
      </c>
      <c r="O82" s="103"/>
      <c r="P82" s="439">
        <v>28548000</v>
      </c>
      <c r="Q82" s="103"/>
      <c r="R82" s="439"/>
      <c r="S82" s="276"/>
      <c r="T82" s="58"/>
      <c r="U82" s="68"/>
      <c r="V82" s="276"/>
      <c r="W82" s="153">
        <f t="shared" si="14"/>
        <v>0</v>
      </c>
      <c r="X82" s="32">
        <f>SUM(P82+R82+T82+V82)</f>
        <v>28548000</v>
      </c>
      <c r="Y82" s="38">
        <f t="shared" si="4"/>
        <v>0</v>
      </c>
      <c r="Z82" s="168">
        <f t="shared" si="17"/>
        <v>7.2405029902455604</v>
      </c>
      <c r="AA82" s="338">
        <f t="shared" si="6"/>
        <v>24</v>
      </c>
      <c r="AB82" s="58">
        <f t="shared" si="19"/>
        <v>1113244007</v>
      </c>
      <c r="AC82" s="143">
        <f t="shared" si="7"/>
        <v>57.142857142857139</v>
      </c>
      <c r="AD82" s="159">
        <f t="shared" si="27"/>
        <v>65.012605885125183</v>
      </c>
      <c r="AE82" s="160" t="s">
        <v>281</v>
      </c>
      <c r="AF82" s="304"/>
      <c r="AG82" s="478"/>
      <c r="AH82" s="486"/>
      <c r="AI82" s="486"/>
    </row>
    <row r="83" spans="1:35" s="163" customFormat="1" ht="87.75" customHeight="1" x14ac:dyDescent="0.25">
      <c r="A83" s="162"/>
      <c r="B83" s="299" t="s">
        <v>139</v>
      </c>
      <c r="C83" s="299" t="s">
        <v>73</v>
      </c>
      <c r="D83" s="299" t="s">
        <v>74</v>
      </c>
      <c r="E83" s="299" t="s">
        <v>83</v>
      </c>
      <c r="F83" s="299" t="s">
        <v>149</v>
      </c>
      <c r="G83" s="28" t="s">
        <v>66</v>
      </c>
      <c r="H83" s="309" t="s">
        <v>282</v>
      </c>
      <c r="I83" s="33">
        <v>6</v>
      </c>
      <c r="J83" s="79">
        <v>121705000</v>
      </c>
      <c r="K83" s="353">
        <v>24</v>
      </c>
      <c r="L83" s="58">
        <f>-138223000+658617000</f>
        <v>520394000</v>
      </c>
      <c r="M83" s="33">
        <v>1</v>
      </c>
      <c r="N83" s="34">
        <v>418500000</v>
      </c>
      <c r="O83" s="103"/>
      <c r="P83" s="439">
        <v>8000000</v>
      </c>
      <c r="Q83" s="103"/>
      <c r="R83" s="439"/>
      <c r="S83" s="276"/>
      <c r="T83" s="58"/>
      <c r="U83" s="68"/>
      <c r="V83" s="276"/>
      <c r="W83" s="153">
        <f t="shared" si="14"/>
        <v>0</v>
      </c>
      <c r="X83" s="32">
        <f>SUM(P83+R83+T83+V83)</f>
        <v>8000000</v>
      </c>
      <c r="Y83" s="38">
        <f t="shared" si="4"/>
        <v>0</v>
      </c>
      <c r="Z83" s="168">
        <f t="shared" si="17"/>
        <v>1.9115890083632019</v>
      </c>
      <c r="AA83" s="338">
        <f t="shared" ref="AA83" si="28">SUM(K83+W83)</f>
        <v>24</v>
      </c>
      <c r="AB83" s="58">
        <f t="shared" si="19"/>
        <v>528394000</v>
      </c>
      <c r="AC83" s="143">
        <f t="shared" ref="AC83" si="29">SUM(AA83/I83*100)</f>
        <v>400</v>
      </c>
      <c r="AD83" s="159">
        <f t="shared" ref="AD83" si="30">SUM(AB83/J83)*100</f>
        <v>434.15964832997827</v>
      </c>
      <c r="AE83" s="160" t="s">
        <v>281</v>
      </c>
      <c r="AF83" s="304"/>
      <c r="AG83" s="478"/>
      <c r="AH83" s="486"/>
      <c r="AI83" s="486"/>
    </row>
    <row r="84" spans="1:35" s="163" customFormat="1" ht="75.75" customHeight="1" x14ac:dyDescent="0.25">
      <c r="A84" s="162"/>
      <c r="B84" s="299" t="s">
        <v>139</v>
      </c>
      <c r="C84" s="299" t="s">
        <v>73</v>
      </c>
      <c r="D84" s="299" t="s">
        <v>74</v>
      </c>
      <c r="E84" s="299" t="s">
        <v>83</v>
      </c>
      <c r="F84" s="299" t="s">
        <v>150</v>
      </c>
      <c r="G84" s="28" t="s">
        <v>418</v>
      </c>
      <c r="H84" s="288" t="s">
        <v>67</v>
      </c>
      <c r="I84" s="33">
        <v>20</v>
      </c>
      <c r="J84" s="79">
        <v>1815656740</v>
      </c>
      <c r="K84" s="353">
        <v>16</v>
      </c>
      <c r="L84" s="58">
        <f>643622130+223661200</f>
        <v>867283330</v>
      </c>
      <c r="M84" s="103">
        <v>4</v>
      </c>
      <c r="N84" s="34">
        <v>179508000</v>
      </c>
      <c r="O84" s="424">
        <v>0</v>
      </c>
      <c r="P84" s="425">
        <v>0</v>
      </c>
      <c r="Q84" s="86"/>
      <c r="R84" s="425"/>
      <c r="S84" s="274"/>
      <c r="T84" s="58"/>
      <c r="U84" s="103"/>
      <c r="V84" s="58"/>
      <c r="W84" s="153">
        <f t="shared" si="14"/>
        <v>0</v>
      </c>
      <c r="X84" s="32">
        <f t="shared" ref="X84:X118" si="31">SUM(P84+R84+T84+V84)</f>
        <v>0</v>
      </c>
      <c r="Y84" s="38">
        <f t="shared" si="4"/>
        <v>0</v>
      </c>
      <c r="Z84" s="168">
        <f t="shared" si="17"/>
        <v>0</v>
      </c>
      <c r="AA84" s="338">
        <f t="shared" si="6"/>
        <v>16</v>
      </c>
      <c r="AB84" s="58">
        <f t="shared" si="19"/>
        <v>867283330</v>
      </c>
      <c r="AC84" s="143">
        <f t="shared" si="7"/>
        <v>80</v>
      </c>
      <c r="AD84" s="159">
        <f t="shared" si="27"/>
        <v>47.766921516233296</v>
      </c>
      <c r="AE84" s="160" t="s">
        <v>281</v>
      </c>
      <c r="AF84" s="304"/>
      <c r="AG84" s="478"/>
      <c r="AH84" s="486"/>
      <c r="AI84" s="486"/>
    </row>
    <row r="85" spans="1:35" s="163" customFormat="1" ht="118.5" customHeight="1" x14ac:dyDescent="0.25">
      <c r="A85" s="162"/>
      <c r="B85" s="299" t="s">
        <v>139</v>
      </c>
      <c r="C85" s="299" t="s">
        <v>73</v>
      </c>
      <c r="D85" s="299" t="s">
        <v>74</v>
      </c>
      <c r="E85" s="299" t="s">
        <v>83</v>
      </c>
      <c r="F85" s="299" t="s">
        <v>151</v>
      </c>
      <c r="G85" s="28" t="s">
        <v>68</v>
      </c>
      <c r="H85" s="288" t="s">
        <v>419</v>
      </c>
      <c r="I85" s="33">
        <v>5</v>
      </c>
      <c r="J85" s="79">
        <v>2781361458</v>
      </c>
      <c r="K85" s="353">
        <v>4</v>
      </c>
      <c r="L85" s="58">
        <f>801012495+153880850</f>
        <v>954893345</v>
      </c>
      <c r="M85" s="33">
        <v>1</v>
      </c>
      <c r="N85" s="34">
        <v>106437000</v>
      </c>
      <c r="O85" s="157">
        <v>0</v>
      </c>
      <c r="P85" s="439">
        <v>0</v>
      </c>
      <c r="Q85" s="285"/>
      <c r="R85" s="439"/>
      <c r="S85" s="276"/>
      <c r="T85" s="58"/>
      <c r="U85" s="276"/>
      <c r="V85" s="58"/>
      <c r="W85" s="153">
        <f t="shared" si="14"/>
        <v>0</v>
      </c>
      <c r="X85" s="32">
        <f t="shared" si="31"/>
        <v>0</v>
      </c>
      <c r="Y85" s="38">
        <f t="shared" si="4"/>
        <v>0</v>
      </c>
      <c r="Z85" s="168">
        <f t="shared" si="17"/>
        <v>0</v>
      </c>
      <c r="AA85" s="338">
        <f t="shared" si="6"/>
        <v>4</v>
      </c>
      <c r="AB85" s="58">
        <f t="shared" si="19"/>
        <v>954893345</v>
      </c>
      <c r="AC85" s="143">
        <f t="shared" si="7"/>
        <v>80</v>
      </c>
      <c r="AD85" s="159">
        <f t="shared" si="27"/>
        <v>34.331868022886795</v>
      </c>
      <c r="AE85" s="160" t="s">
        <v>281</v>
      </c>
      <c r="AF85" s="308"/>
      <c r="AG85" s="478"/>
      <c r="AH85" s="486"/>
      <c r="AI85" s="486"/>
    </row>
    <row r="86" spans="1:35" s="163" customFormat="1" ht="58.5" customHeight="1" x14ac:dyDescent="0.25">
      <c r="A86" s="162"/>
      <c r="B86" s="299" t="s">
        <v>139</v>
      </c>
      <c r="C86" s="299" t="s">
        <v>73</v>
      </c>
      <c r="D86" s="299" t="s">
        <v>74</v>
      </c>
      <c r="E86" s="299" t="s">
        <v>83</v>
      </c>
      <c r="F86" s="299" t="s">
        <v>152</v>
      </c>
      <c r="G86" s="28" t="s">
        <v>70</v>
      </c>
      <c r="H86" s="288" t="s">
        <v>69</v>
      </c>
      <c r="I86" s="33">
        <v>600</v>
      </c>
      <c r="J86" s="79">
        <v>3597332493</v>
      </c>
      <c r="K86" s="353">
        <v>480</v>
      </c>
      <c r="L86" s="58">
        <f>1215655420+309287200</f>
        <v>1524942620</v>
      </c>
      <c r="M86" s="33">
        <v>40</v>
      </c>
      <c r="N86" s="34">
        <v>131960000</v>
      </c>
      <c r="O86" s="424">
        <v>0</v>
      </c>
      <c r="P86" s="439">
        <v>0</v>
      </c>
      <c r="Q86" s="86"/>
      <c r="R86" s="439"/>
      <c r="S86" s="276"/>
      <c r="T86" s="58"/>
      <c r="U86" s="276"/>
      <c r="V86" s="58"/>
      <c r="W86" s="153">
        <f t="shared" si="14"/>
        <v>0</v>
      </c>
      <c r="X86" s="32">
        <f t="shared" si="31"/>
        <v>0</v>
      </c>
      <c r="Y86" s="38">
        <f t="shared" ref="Y86:Y123" si="32">SUM(W86/M86*100)</f>
        <v>0</v>
      </c>
      <c r="Z86" s="168">
        <f t="shared" si="17"/>
        <v>0</v>
      </c>
      <c r="AA86" s="338">
        <f t="shared" ref="AA86:AA123" si="33">SUM(K86+W86)</f>
        <v>480</v>
      </c>
      <c r="AB86" s="58">
        <f t="shared" si="19"/>
        <v>1524942620</v>
      </c>
      <c r="AC86" s="143">
        <f t="shared" ref="AC86:AC123" si="34">SUM(AA86/I86*100)</f>
        <v>80</v>
      </c>
      <c r="AD86" s="159">
        <f t="shared" si="27"/>
        <v>42.390927804626486</v>
      </c>
      <c r="AE86" s="160" t="s">
        <v>281</v>
      </c>
      <c r="AF86" s="304"/>
      <c r="AG86" s="478"/>
      <c r="AH86" s="486"/>
      <c r="AI86" s="486"/>
    </row>
    <row r="87" spans="1:35" s="163" customFormat="1" ht="47.25" customHeight="1" x14ac:dyDescent="0.25">
      <c r="A87" s="162"/>
      <c r="B87" s="299" t="s">
        <v>139</v>
      </c>
      <c r="C87" s="299" t="s">
        <v>73</v>
      </c>
      <c r="D87" s="299" t="s">
        <v>74</v>
      </c>
      <c r="E87" s="299" t="s">
        <v>83</v>
      </c>
      <c r="F87" s="299" t="s">
        <v>153</v>
      </c>
      <c r="G87" s="28" t="s">
        <v>99</v>
      </c>
      <c r="H87" s="288" t="s">
        <v>133</v>
      </c>
      <c r="I87" s="33">
        <v>5</v>
      </c>
      <c r="J87" s="79">
        <v>7706658209</v>
      </c>
      <c r="K87" s="353">
        <v>4</v>
      </c>
      <c r="L87" s="79">
        <f>2816799900+849727500</f>
        <v>3666527400</v>
      </c>
      <c r="M87" s="379">
        <v>1</v>
      </c>
      <c r="N87" s="34">
        <v>759011476</v>
      </c>
      <c r="O87" s="441">
        <v>0</v>
      </c>
      <c r="P87" s="439">
        <v>75385000</v>
      </c>
      <c r="Q87" s="442"/>
      <c r="R87" s="439"/>
      <c r="S87" s="302"/>
      <c r="T87" s="79"/>
      <c r="U87" s="302"/>
      <c r="V87" s="79"/>
      <c r="W87" s="153">
        <f t="shared" si="14"/>
        <v>0</v>
      </c>
      <c r="X87" s="32">
        <f t="shared" si="31"/>
        <v>75385000</v>
      </c>
      <c r="Y87" s="38">
        <f t="shared" si="32"/>
        <v>0</v>
      </c>
      <c r="Z87" s="168">
        <f t="shared" si="17"/>
        <v>9.9319973918286308</v>
      </c>
      <c r="AA87" s="338">
        <f t="shared" si="33"/>
        <v>4</v>
      </c>
      <c r="AB87" s="58">
        <f t="shared" si="19"/>
        <v>3741912400</v>
      </c>
      <c r="AC87" s="143">
        <f t="shared" si="34"/>
        <v>80</v>
      </c>
      <c r="AD87" s="159">
        <f t="shared" si="27"/>
        <v>48.554279929400721</v>
      </c>
      <c r="AE87" s="160" t="s">
        <v>281</v>
      </c>
      <c r="AF87" s="304"/>
      <c r="AG87" s="478"/>
      <c r="AH87" s="486"/>
      <c r="AI87" s="486"/>
    </row>
    <row r="88" spans="1:35" s="163" customFormat="1" ht="59.25" customHeight="1" x14ac:dyDescent="0.25">
      <c r="A88" s="162"/>
      <c r="B88" s="299" t="s">
        <v>139</v>
      </c>
      <c r="C88" s="299" t="s">
        <v>73</v>
      </c>
      <c r="D88" s="299" t="s">
        <v>74</v>
      </c>
      <c r="E88" s="299" t="s">
        <v>83</v>
      </c>
      <c r="F88" s="299" t="s">
        <v>154</v>
      </c>
      <c r="G88" s="28" t="s">
        <v>100</v>
      </c>
      <c r="H88" s="288" t="s">
        <v>134</v>
      </c>
      <c r="I88" s="33">
        <v>50</v>
      </c>
      <c r="J88" s="79">
        <v>1784385000</v>
      </c>
      <c r="K88" s="353">
        <v>40</v>
      </c>
      <c r="L88" s="79">
        <f>898041494+258821980</f>
        <v>1156863474</v>
      </c>
      <c r="M88" s="33">
        <v>10</v>
      </c>
      <c r="N88" s="34">
        <v>83400000</v>
      </c>
      <c r="O88" s="442">
        <v>0</v>
      </c>
      <c r="P88" s="439">
        <v>0</v>
      </c>
      <c r="Q88" s="442"/>
      <c r="R88" s="439"/>
      <c r="S88" s="302"/>
      <c r="T88" s="79"/>
      <c r="U88" s="302"/>
      <c r="V88" s="79"/>
      <c r="W88" s="153">
        <f t="shared" si="14"/>
        <v>0</v>
      </c>
      <c r="X88" s="32">
        <f t="shared" si="31"/>
        <v>0</v>
      </c>
      <c r="Y88" s="38">
        <f t="shared" si="32"/>
        <v>0</v>
      </c>
      <c r="Z88" s="168">
        <f t="shared" si="17"/>
        <v>0</v>
      </c>
      <c r="AA88" s="338">
        <f t="shared" si="33"/>
        <v>40</v>
      </c>
      <c r="AB88" s="58">
        <f t="shared" si="19"/>
        <v>1156863474</v>
      </c>
      <c r="AC88" s="143">
        <f>SUM(AA88/I88*100)</f>
        <v>80</v>
      </c>
      <c r="AD88" s="159">
        <f t="shared" si="27"/>
        <v>64.832615943308198</v>
      </c>
      <c r="AE88" s="160" t="s">
        <v>281</v>
      </c>
      <c r="AF88" s="304"/>
      <c r="AG88" s="478"/>
      <c r="AH88" s="486"/>
      <c r="AI88" s="486"/>
    </row>
    <row r="89" spans="1:35" s="163" customFormat="1" ht="152.25" customHeight="1" x14ac:dyDescent="0.25">
      <c r="A89" s="162"/>
      <c r="B89" s="299" t="s">
        <v>274</v>
      </c>
      <c r="C89" s="299" t="s">
        <v>73</v>
      </c>
      <c r="D89" s="299" t="s">
        <v>74</v>
      </c>
      <c r="E89" s="299" t="s">
        <v>83</v>
      </c>
      <c r="F89" s="299" t="s">
        <v>283</v>
      </c>
      <c r="G89" s="28" t="s">
        <v>284</v>
      </c>
      <c r="H89" s="309" t="s">
        <v>285</v>
      </c>
      <c r="I89" s="33">
        <v>20</v>
      </c>
      <c r="J89" s="79">
        <v>1354078310</v>
      </c>
      <c r="K89" s="353">
        <v>16</v>
      </c>
      <c r="L89" s="79">
        <f>916622000+441900000</f>
        <v>1358522000</v>
      </c>
      <c r="M89" s="33">
        <v>3</v>
      </c>
      <c r="N89" s="34">
        <v>459510000</v>
      </c>
      <c r="O89" s="442"/>
      <c r="P89" s="439"/>
      <c r="Q89" s="442"/>
      <c r="R89" s="439"/>
      <c r="S89" s="302"/>
      <c r="T89" s="79"/>
      <c r="U89" s="302"/>
      <c r="V89" s="79"/>
      <c r="W89" s="153">
        <f t="shared" si="14"/>
        <v>0</v>
      </c>
      <c r="X89" s="32">
        <f t="shared" si="31"/>
        <v>0</v>
      </c>
      <c r="Y89" s="38">
        <f t="shared" si="32"/>
        <v>0</v>
      </c>
      <c r="Z89" s="168">
        <f t="shared" si="17"/>
        <v>0</v>
      </c>
      <c r="AA89" s="338">
        <f t="shared" si="33"/>
        <v>16</v>
      </c>
      <c r="AB89" s="58">
        <f t="shared" si="19"/>
        <v>1358522000</v>
      </c>
      <c r="AC89" s="143">
        <f>SUM(AA89/I89*100)</f>
        <v>80</v>
      </c>
      <c r="AD89" s="159">
        <f t="shared" si="27"/>
        <v>100.3281708278748</v>
      </c>
      <c r="AE89" s="160" t="s">
        <v>281</v>
      </c>
      <c r="AF89" s="304"/>
      <c r="AG89" s="478"/>
      <c r="AH89" s="486"/>
      <c r="AI89" s="486"/>
    </row>
    <row r="90" spans="1:35" s="163" customFormat="1" ht="62.25" customHeight="1" x14ac:dyDescent="0.25">
      <c r="A90" s="162"/>
      <c r="B90" s="299" t="s">
        <v>139</v>
      </c>
      <c r="C90" s="299" t="s">
        <v>73</v>
      </c>
      <c r="D90" s="299" t="s">
        <v>74</v>
      </c>
      <c r="E90" s="299" t="s">
        <v>83</v>
      </c>
      <c r="F90" s="299" t="s">
        <v>93</v>
      </c>
      <c r="G90" s="105" t="s">
        <v>106</v>
      </c>
      <c r="H90" s="288" t="s">
        <v>135</v>
      </c>
      <c r="I90" s="33">
        <v>9</v>
      </c>
      <c r="J90" s="34">
        <v>573329941</v>
      </c>
      <c r="K90" s="360">
        <v>5</v>
      </c>
      <c r="L90" s="303">
        <f>137512630+18170000</f>
        <v>155682630</v>
      </c>
      <c r="M90" s="107">
        <v>1</v>
      </c>
      <c r="N90" s="34">
        <v>14850000</v>
      </c>
      <c r="O90" s="441">
        <v>0</v>
      </c>
      <c r="P90" s="439">
        <v>0</v>
      </c>
      <c r="Q90" s="442"/>
      <c r="R90" s="439"/>
      <c r="S90" s="305"/>
      <c r="T90" s="303"/>
      <c r="U90" s="108"/>
      <c r="V90" s="303"/>
      <c r="W90" s="153">
        <f t="shared" si="14"/>
        <v>0</v>
      </c>
      <c r="X90" s="32">
        <f t="shared" si="31"/>
        <v>0</v>
      </c>
      <c r="Y90" s="38">
        <f t="shared" si="32"/>
        <v>0</v>
      </c>
      <c r="Z90" s="168">
        <f t="shared" si="17"/>
        <v>0</v>
      </c>
      <c r="AA90" s="338">
        <f t="shared" si="33"/>
        <v>5</v>
      </c>
      <c r="AB90" s="58">
        <f t="shared" si="19"/>
        <v>155682630</v>
      </c>
      <c r="AC90" s="143">
        <f t="shared" si="34"/>
        <v>55.555555555555557</v>
      </c>
      <c r="AD90" s="283">
        <f t="shared" si="27"/>
        <v>27.154107760089929</v>
      </c>
      <c r="AE90" s="160" t="s">
        <v>281</v>
      </c>
      <c r="AF90" s="304"/>
      <c r="AG90" s="478"/>
      <c r="AH90" s="486"/>
      <c r="AI90" s="486"/>
    </row>
    <row r="91" spans="1:35" s="163" customFormat="1" ht="96.75" customHeight="1" x14ac:dyDescent="0.25">
      <c r="A91" s="162"/>
      <c r="B91" s="299" t="s">
        <v>139</v>
      </c>
      <c r="C91" s="299" t="s">
        <v>73</v>
      </c>
      <c r="D91" s="299" t="s">
        <v>74</v>
      </c>
      <c r="E91" s="299" t="s">
        <v>83</v>
      </c>
      <c r="F91" s="299" t="s">
        <v>155</v>
      </c>
      <c r="G91" s="105" t="s">
        <v>107</v>
      </c>
      <c r="H91" s="519" t="s">
        <v>241</v>
      </c>
      <c r="I91" s="33">
        <v>7</v>
      </c>
      <c r="J91" s="34">
        <v>2115903000</v>
      </c>
      <c r="K91" s="349">
        <v>6</v>
      </c>
      <c r="L91" s="303">
        <f>810761830+537369000</f>
        <v>1348130830</v>
      </c>
      <c r="M91" s="107">
        <v>1</v>
      </c>
      <c r="N91" s="34">
        <v>241740393</v>
      </c>
      <c r="O91" s="442"/>
      <c r="P91" s="439">
        <v>19599999</v>
      </c>
      <c r="Q91" s="442"/>
      <c r="R91" s="439"/>
      <c r="S91" s="302"/>
      <c r="T91" s="303"/>
      <c r="U91" s="104"/>
      <c r="V91" s="303"/>
      <c r="W91" s="153">
        <f t="shared" si="14"/>
        <v>0</v>
      </c>
      <c r="X91" s="32">
        <f t="shared" si="31"/>
        <v>19599999</v>
      </c>
      <c r="Y91" s="38">
        <f t="shared" si="32"/>
        <v>0</v>
      </c>
      <c r="Z91" s="168">
        <f t="shared" si="17"/>
        <v>8.1078709092691845</v>
      </c>
      <c r="AA91" s="338">
        <f t="shared" si="33"/>
        <v>6</v>
      </c>
      <c r="AB91" s="58">
        <f t="shared" si="19"/>
        <v>1367730829</v>
      </c>
      <c r="AC91" s="143">
        <f t="shared" si="34"/>
        <v>85.714285714285708</v>
      </c>
      <c r="AD91" s="159">
        <f t="shared" si="27"/>
        <v>64.640526007099581</v>
      </c>
      <c r="AE91" s="160" t="s">
        <v>281</v>
      </c>
      <c r="AF91" s="304"/>
      <c r="AG91" s="478"/>
      <c r="AH91" s="486"/>
      <c r="AI91" s="486"/>
    </row>
    <row r="92" spans="1:35" s="163" customFormat="1" ht="62.25" customHeight="1" x14ac:dyDescent="0.25">
      <c r="A92" s="162"/>
      <c r="B92" s="299" t="s">
        <v>139</v>
      </c>
      <c r="C92" s="299" t="s">
        <v>73</v>
      </c>
      <c r="D92" s="299" t="s">
        <v>74</v>
      </c>
      <c r="E92" s="299" t="s">
        <v>83</v>
      </c>
      <c r="F92" s="299" t="s">
        <v>156</v>
      </c>
      <c r="G92" s="105" t="s">
        <v>108</v>
      </c>
      <c r="H92" s="105" t="s">
        <v>136</v>
      </c>
      <c r="I92" s="107">
        <v>2</v>
      </c>
      <c r="J92" s="34">
        <v>315692000</v>
      </c>
      <c r="K92" s="349">
        <v>2</v>
      </c>
      <c r="L92" s="79">
        <v>189674400</v>
      </c>
      <c r="M92" s="164"/>
      <c r="N92" s="101"/>
      <c r="O92" s="301"/>
      <c r="P92" s="406"/>
      <c r="Q92" s="410"/>
      <c r="R92" s="386"/>
      <c r="S92" s="302"/>
      <c r="T92" s="79"/>
      <c r="U92" s="79"/>
      <c r="V92" s="79"/>
      <c r="W92" s="153">
        <f t="shared" si="14"/>
        <v>0</v>
      </c>
      <c r="X92" s="32">
        <f t="shared" si="31"/>
        <v>0</v>
      </c>
      <c r="Y92" s="38" t="e">
        <f t="shared" si="32"/>
        <v>#DIV/0!</v>
      </c>
      <c r="Z92" s="168">
        <v>0</v>
      </c>
      <c r="AA92" s="338">
        <f t="shared" si="33"/>
        <v>2</v>
      </c>
      <c r="AB92" s="58">
        <f t="shared" si="19"/>
        <v>189674400</v>
      </c>
      <c r="AC92" s="143">
        <f t="shared" si="34"/>
        <v>100</v>
      </c>
      <c r="AD92" s="159">
        <f t="shared" si="27"/>
        <v>60.08210534318259</v>
      </c>
      <c r="AE92" s="160" t="s">
        <v>281</v>
      </c>
      <c r="AF92" s="304"/>
      <c r="AG92" s="478"/>
      <c r="AH92" s="486"/>
      <c r="AI92" s="486"/>
    </row>
    <row r="93" spans="1:35" s="163" customFormat="1" ht="39" customHeight="1" x14ac:dyDescent="0.25">
      <c r="A93" s="162"/>
      <c r="B93" s="299" t="s">
        <v>139</v>
      </c>
      <c r="C93" s="299" t="s">
        <v>73</v>
      </c>
      <c r="D93" s="299" t="s">
        <v>74</v>
      </c>
      <c r="E93" s="299" t="s">
        <v>83</v>
      </c>
      <c r="F93" s="299">
        <v>45</v>
      </c>
      <c r="G93" s="105" t="s">
        <v>186</v>
      </c>
      <c r="H93" s="105" t="s">
        <v>187</v>
      </c>
      <c r="I93" s="107">
        <v>69271</v>
      </c>
      <c r="J93" s="34">
        <v>1319201000</v>
      </c>
      <c r="K93" s="377">
        <v>68578</v>
      </c>
      <c r="L93" s="303">
        <v>1254968000</v>
      </c>
      <c r="M93" s="164"/>
      <c r="N93" s="101"/>
      <c r="O93" s="301"/>
      <c r="P93" s="406"/>
      <c r="Q93" s="410"/>
      <c r="R93" s="386"/>
      <c r="S93" s="305"/>
      <c r="T93" s="79"/>
      <c r="U93" s="107"/>
      <c r="V93" s="79"/>
      <c r="W93" s="153">
        <f t="shared" si="14"/>
        <v>0</v>
      </c>
      <c r="X93" s="32">
        <f t="shared" si="31"/>
        <v>0</v>
      </c>
      <c r="Y93" s="38" t="e">
        <f t="shared" si="32"/>
        <v>#DIV/0!</v>
      </c>
      <c r="Z93" s="168">
        <v>0</v>
      </c>
      <c r="AA93" s="338">
        <f t="shared" si="33"/>
        <v>68578</v>
      </c>
      <c r="AB93" s="58">
        <f t="shared" si="19"/>
        <v>1254968000</v>
      </c>
      <c r="AC93" s="143">
        <f t="shared" si="34"/>
        <v>98.999581354390727</v>
      </c>
      <c r="AD93" s="159">
        <f t="shared" si="27"/>
        <v>95.130916365284747</v>
      </c>
      <c r="AE93" s="160" t="s">
        <v>281</v>
      </c>
      <c r="AF93" s="304"/>
      <c r="AG93" s="478"/>
      <c r="AH93" s="486"/>
      <c r="AI93" s="486"/>
    </row>
    <row r="94" spans="1:35" s="163" customFormat="1" ht="63" customHeight="1" x14ac:dyDescent="0.25">
      <c r="A94" s="162"/>
      <c r="B94" s="299" t="s">
        <v>139</v>
      </c>
      <c r="C94" s="299" t="s">
        <v>73</v>
      </c>
      <c r="D94" s="299" t="s">
        <v>74</v>
      </c>
      <c r="E94" s="299" t="s">
        <v>83</v>
      </c>
      <c r="F94" s="299" t="s">
        <v>188</v>
      </c>
      <c r="G94" s="105" t="s">
        <v>189</v>
      </c>
      <c r="H94" s="105" t="s">
        <v>190</v>
      </c>
      <c r="I94" s="33">
        <v>809372</v>
      </c>
      <c r="J94" s="34">
        <v>3728407120</v>
      </c>
      <c r="K94" s="378">
        <f>436449+133174</f>
        <v>569623</v>
      </c>
      <c r="L94" s="303">
        <f>857776200+304727750</f>
        <v>1162503950</v>
      </c>
      <c r="M94" s="107">
        <v>239749</v>
      </c>
      <c r="N94" s="34">
        <v>395380000</v>
      </c>
      <c r="O94" s="441"/>
      <c r="P94" s="439">
        <v>137585600</v>
      </c>
      <c r="Q94" s="442"/>
      <c r="R94" s="439"/>
      <c r="S94" s="104"/>
      <c r="T94" s="303"/>
      <c r="U94" s="303"/>
      <c r="V94" s="303"/>
      <c r="W94" s="153">
        <f t="shared" si="14"/>
        <v>0</v>
      </c>
      <c r="X94" s="32">
        <f t="shared" si="31"/>
        <v>137585600</v>
      </c>
      <c r="Y94" s="38">
        <f t="shared" si="32"/>
        <v>0</v>
      </c>
      <c r="Z94" s="168">
        <f t="shared" si="17"/>
        <v>34.798320602964239</v>
      </c>
      <c r="AA94" s="338">
        <f t="shared" si="33"/>
        <v>569623</v>
      </c>
      <c r="AB94" s="58">
        <f t="shared" si="19"/>
        <v>1300089550</v>
      </c>
      <c r="AC94" s="143">
        <f t="shared" si="34"/>
        <v>70.378392136125285</v>
      </c>
      <c r="AD94" s="159">
        <f t="shared" si="27"/>
        <v>34.86983873155998</v>
      </c>
      <c r="AE94" s="160" t="s">
        <v>281</v>
      </c>
      <c r="AF94" s="288"/>
      <c r="AG94" s="478"/>
      <c r="AH94" s="486"/>
      <c r="AI94" s="486"/>
    </row>
    <row r="95" spans="1:35" s="163" customFormat="1" ht="127.5" x14ac:dyDescent="0.25">
      <c r="A95" s="162"/>
      <c r="B95" s="299" t="s">
        <v>139</v>
      </c>
      <c r="C95" s="299" t="s">
        <v>73</v>
      </c>
      <c r="D95" s="299" t="s">
        <v>74</v>
      </c>
      <c r="E95" s="299" t="s">
        <v>83</v>
      </c>
      <c r="F95" s="299" t="s">
        <v>157</v>
      </c>
      <c r="G95" s="105" t="s">
        <v>109</v>
      </c>
      <c r="H95" s="105" t="s">
        <v>137</v>
      </c>
      <c r="I95" s="33">
        <v>200</v>
      </c>
      <c r="J95" s="34">
        <v>388260000</v>
      </c>
      <c r="K95" s="362">
        <v>160</v>
      </c>
      <c r="L95" s="79">
        <f>134728900+94715000</f>
        <v>229443900</v>
      </c>
      <c r="M95" s="107">
        <v>40</v>
      </c>
      <c r="N95" s="34">
        <v>20233874</v>
      </c>
      <c r="O95" s="441">
        <v>0</v>
      </c>
      <c r="P95" s="439">
        <v>0</v>
      </c>
      <c r="Q95" s="442"/>
      <c r="R95" s="439"/>
      <c r="S95" s="305"/>
      <c r="T95" s="79"/>
      <c r="U95" s="108"/>
      <c r="V95" s="303"/>
      <c r="W95" s="153">
        <f t="shared" si="14"/>
        <v>0</v>
      </c>
      <c r="X95" s="32">
        <f t="shared" si="31"/>
        <v>0</v>
      </c>
      <c r="Y95" s="38">
        <f t="shared" si="32"/>
        <v>0</v>
      </c>
      <c r="Z95" s="168">
        <f t="shared" si="17"/>
        <v>0</v>
      </c>
      <c r="AA95" s="338">
        <f t="shared" si="33"/>
        <v>160</v>
      </c>
      <c r="AB95" s="58">
        <f t="shared" si="19"/>
        <v>229443900</v>
      </c>
      <c r="AC95" s="143">
        <f t="shared" si="34"/>
        <v>80</v>
      </c>
      <c r="AD95" s="159">
        <f t="shared" si="27"/>
        <v>59.095425745634365</v>
      </c>
      <c r="AE95" s="160" t="s">
        <v>281</v>
      </c>
      <c r="AF95" s="304"/>
      <c r="AG95" s="478"/>
      <c r="AH95" s="490" t="s">
        <v>382</v>
      </c>
      <c r="AI95" s="493" t="s">
        <v>383</v>
      </c>
    </row>
    <row r="96" spans="1:35" s="163" customFormat="1" ht="60" customHeight="1" x14ac:dyDescent="0.25">
      <c r="A96" s="162"/>
      <c r="B96" s="299" t="s">
        <v>139</v>
      </c>
      <c r="C96" s="299" t="s">
        <v>73</v>
      </c>
      <c r="D96" s="299" t="s">
        <v>74</v>
      </c>
      <c r="E96" s="299" t="s">
        <v>83</v>
      </c>
      <c r="F96" s="299" t="s">
        <v>158</v>
      </c>
      <c r="G96" s="105" t="s">
        <v>110</v>
      </c>
      <c r="H96" s="105" t="s">
        <v>252</v>
      </c>
      <c r="I96" s="33">
        <v>7</v>
      </c>
      <c r="J96" s="101">
        <v>655931944</v>
      </c>
      <c r="K96" s="358">
        <v>6</v>
      </c>
      <c r="L96" s="79">
        <f>185619714+117181149</f>
        <v>302800863</v>
      </c>
      <c r="M96" s="107">
        <v>1</v>
      </c>
      <c r="N96" s="34">
        <v>381500000</v>
      </c>
      <c r="O96" s="442"/>
      <c r="P96" s="439">
        <v>24848000</v>
      </c>
      <c r="Q96" s="442"/>
      <c r="R96" s="439"/>
      <c r="S96" s="104"/>
      <c r="T96" s="79"/>
      <c r="U96" s="104"/>
      <c r="V96" s="79"/>
      <c r="W96" s="153">
        <f t="shared" si="14"/>
        <v>0</v>
      </c>
      <c r="X96" s="32">
        <f t="shared" si="31"/>
        <v>24848000</v>
      </c>
      <c r="Y96" s="38">
        <f>SUM(W96/M96*100)</f>
        <v>0</v>
      </c>
      <c r="Z96" s="168">
        <f t="shared" si="17"/>
        <v>6.5132372214941014</v>
      </c>
      <c r="AA96" s="338">
        <f t="shared" si="33"/>
        <v>6</v>
      </c>
      <c r="AB96" s="58">
        <f t="shared" si="19"/>
        <v>327648863</v>
      </c>
      <c r="AC96" s="143">
        <f t="shared" si="34"/>
        <v>85.714285714285708</v>
      </c>
      <c r="AD96" s="159">
        <f t="shared" si="27"/>
        <v>49.951655197936205</v>
      </c>
      <c r="AE96" s="160" t="s">
        <v>281</v>
      </c>
      <c r="AF96" s="304"/>
      <c r="AG96" s="478"/>
      <c r="AH96" s="486"/>
      <c r="AI96" s="486"/>
    </row>
    <row r="97" spans="1:35" s="163" customFormat="1" ht="63" customHeight="1" x14ac:dyDescent="0.25">
      <c r="A97" s="162"/>
      <c r="B97" s="299" t="s">
        <v>139</v>
      </c>
      <c r="C97" s="299" t="s">
        <v>73</v>
      </c>
      <c r="D97" s="299" t="s">
        <v>74</v>
      </c>
      <c r="E97" s="299" t="s">
        <v>83</v>
      </c>
      <c r="F97" s="299" t="s">
        <v>246</v>
      </c>
      <c r="G97" s="105" t="s">
        <v>247</v>
      </c>
      <c r="H97" s="105" t="s">
        <v>261</v>
      </c>
      <c r="I97" s="502">
        <v>153.65899999999999</v>
      </c>
      <c r="J97" s="101">
        <v>7614655000</v>
      </c>
      <c r="K97" s="495">
        <v>109843</v>
      </c>
      <c r="L97" s="32">
        <f>2545335650+3165647050</f>
        <v>5710982700</v>
      </c>
      <c r="M97" s="107">
        <v>43816</v>
      </c>
      <c r="N97" s="34">
        <v>1010210970</v>
      </c>
      <c r="O97" s="441">
        <v>0</v>
      </c>
      <c r="P97" s="439">
        <v>0</v>
      </c>
      <c r="Q97" s="442"/>
      <c r="R97" s="439"/>
      <c r="S97" s="302"/>
      <c r="T97" s="79"/>
      <c r="U97" s="79"/>
      <c r="V97" s="79"/>
      <c r="W97" s="153">
        <f t="shared" si="14"/>
        <v>0</v>
      </c>
      <c r="X97" s="32">
        <f t="shared" si="31"/>
        <v>0</v>
      </c>
      <c r="Y97" s="38">
        <f t="shared" si="32"/>
        <v>0</v>
      </c>
      <c r="Z97" s="168">
        <f t="shared" si="17"/>
        <v>0</v>
      </c>
      <c r="AA97" s="338">
        <f t="shared" si="33"/>
        <v>109843</v>
      </c>
      <c r="AB97" s="58">
        <f t="shared" si="19"/>
        <v>5710982700</v>
      </c>
      <c r="AC97" s="143">
        <f t="shared" si="34"/>
        <v>71484.911394711671</v>
      </c>
      <c r="AD97" s="159">
        <f t="shared" si="27"/>
        <v>74.999887716515062</v>
      </c>
      <c r="AE97" s="160" t="s">
        <v>281</v>
      </c>
      <c r="AF97" s="304"/>
      <c r="AG97" s="478"/>
      <c r="AH97" s="489"/>
      <c r="AI97" s="486"/>
    </row>
    <row r="98" spans="1:35" s="163" customFormat="1" ht="40.5" hidden="1" x14ac:dyDescent="0.25">
      <c r="A98" s="162"/>
      <c r="B98" s="299" t="s">
        <v>274</v>
      </c>
      <c r="C98" s="299" t="s">
        <v>73</v>
      </c>
      <c r="D98" s="299" t="s">
        <v>74</v>
      </c>
      <c r="E98" s="299" t="s">
        <v>83</v>
      </c>
      <c r="F98" s="299" t="s">
        <v>403</v>
      </c>
      <c r="G98" s="105" t="s">
        <v>405</v>
      </c>
      <c r="H98" s="504" t="s">
        <v>404</v>
      </c>
      <c r="I98" s="33" t="s">
        <v>406</v>
      </c>
      <c r="J98" s="101"/>
      <c r="K98" s="495" t="s">
        <v>104</v>
      </c>
      <c r="L98" s="32" t="s">
        <v>104</v>
      </c>
      <c r="M98" s="107" t="s">
        <v>104</v>
      </c>
      <c r="N98" s="34" t="s">
        <v>104</v>
      </c>
      <c r="O98" s="442" t="s">
        <v>104</v>
      </c>
      <c r="P98" s="439" t="s">
        <v>104</v>
      </c>
      <c r="Q98" s="442"/>
      <c r="R98" s="439"/>
      <c r="S98" s="302"/>
      <c r="T98" s="79"/>
      <c r="U98" s="79"/>
      <c r="V98" s="79"/>
      <c r="W98" s="153" t="s">
        <v>104</v>
      </c>
      <c r="X98" s="32" t="s">
        <v>104</v>
      </c>
      <c r="Y98" s="38" t="s">
        <v>104</v>
      </c>
      <c r="Z98" s="168" t="s">
        <v>104</v>
      </c>
      <c r="AA98" s="338" t="s">
        <v>104</v>
      </c>
      <c r="AB98" s="58" t="s">
        <v>104</v>
      </c>
      <c r="AC98" s="143" t="s">
        <v>104</v>
      </c>
      <c r="AD98" s="159" t="s">
        <v>104</v>
      </c>
      <c r="AE98" s="160" t="s">
        <v>104</v>
      </c>
      <c r="AF98" s="304"/>
      <c r="AG98" s="478"/>
      <c r="AH98" s="489" t="s">
        <v>104</v>
      </c>
      <c r="AI98" s="486" t="s">
        <v>104</v>
      </c>
    </row>
    <row r="99" spans="1:35" s="163" customFormat="1" ht="127.5" customHeight="1" x14ac:dyDescent="0.25">
      <c r="A99" s="162"/>
      <c r="B99" s="299" t="s">
        <v>139</v>
      </c>
      <c r="C99" s="299" t="s">
        <v>73</v>
      </c>
      <c r="D99" s="299" t="s">
        <v>74</v>
      </c>
      <c r="E99" s="299" t="s">
        <v>83</v>
      </c>
      <c r="F99" s="299" t="s">
        <v>159</v>
      </c>
      <c r="G99" s="105" t="s">
        <v>111</v>
      </c>
      <c r="H99" s="65" t="s">
        <v>242</v>
      </c>
      <c r="I99" s="44" t="s">
        <v>412</v>
      </c>
      <c r="J99" s="34">
        <v>1911567861</v>
      </c>
      <c r="K99" s="363" t="s">
        <v>413</v>
      </c>
      <c r="L99" s="32">
        <f>505785000+85026000</f>
        <v>590811000</v>
      </c>
      <c r="M99" s="363" t="s">
        <v>414</v>
      </c>
      <c r="N99" s="34">
        <v>130200000</v>
      </c>
      <c r="O99" s="431">
        <v>0</v>
      </c>
      <c r="P99" s="439">
        <v>0</v>
      </c>
      <c r="Q99" s="422"/>
      <c r="R99" s="439"/>
      <c r="S99" s="45"/>
      <c r="T99" s="32"/>
      <c r="U99" s="45"/>
      <c r="V99" s="32"/>
      <c r="W99" s="153">
        <f t="shared" si="14"/>
        <v>0</v>
      </c>
      <c r="X99" s="32">
        <f t="shared" si="31"/>
        <v>0</v>
      </c>
      <c r="Y99" s="38">
        <f>((0/2000*100)+(0/50*100))/2</f>
        <v>0</v>
      </c>
      <c r="Z99" s="168">
        <f t="shared" si="17"/>
        <v>0</v>
      </c>
      <c r="AA99" s="363" t="s">
        <v>415</v>
      </c>
      <c r="AB99" s="58">
        <f t="shared" si="19"/>
        <v>590811000</v>
      </c>
      <c r="AC99" s="503">
        <f>((7/9*100)+(4500/30000*100)+(108/158*100))/3</f>
        <v>53.710736052508203</v>
      </c>
      <c r="AD99" s="159">
        <f t="shared" si="27"/>
        <v>30.907142354388011</v>
      </c>
      <c r="AE99" s="160" t="s">
        <v>281</v>
      </c>
      <c r="AF99" s="308"/>
      <c r="AG99" s="478"/>
      <c r="AH99" s="490" t="s">
        <v>384</v>
      </c>
      <c r="AI99" s="493" t="s">
        <v>385</v>
      </c>
    </row>
    <row r="100" spans="1:35" s="163" customFormat="1" ht="57" customHeight="1" x14ac:dyDescent="0.25">
      <c r="A100" s="162"/>
      <c r="B100" s="299" t="s">
        <v>139</v>
      </c>
      <c r="C100" s="299" t="s">
        <v>73</v>
      </c>
      <c r="D100" s="299" t="s">
        <v>74</v>
      </c>
      <c r="E100" s="299" t="s">
        <v>83</v>
      </c>
      <c r="F100" s="299" t="s">
        <v>160</v>
      </c>
      <c r="G100" s="105" t="s">
        <v>71</v>
      </c>
      <c r="H100" s="519" t="s">
        <v>243</v>
      </c>
      <c r="I100" s="500" t="s">
        <v>407</v>
      </c>
      <c r="J100" s="34">
        <v>1221020000</v>
      </c>
      <c r="K100" s="500" t="s">
        <v>408</v>
      </c>
      <c r="L100" s="32">
        <f>428618540+235770000</f>
        <v>664388540</v>
      </c>
      <c r="M100" s="107">
        <v>1</v>
      </c>
      <c r="N100" s="34">
        <v>154081000</v>
      </c>
      <c r="O100" s="422">
        <v>1</v>
      </c>
      <c r="P100" s="439">
        <v>141553000</v>
      </c>
      <c r="Q100" s="422"/>
      <c r="R100" s="439"/>
      <c r="S100" s="74"/>
      <c r="T100" s="32"/>
      <c r="U100" s="50"/>
      <c r="V100" s="32"/>
      <c r="W100" s="153">
        <v>1</v>
      </c>
      <c r="X100" s="32">
        <f t="shared" si="31"/>
        <v>141553000</v>
      </c>
      <c r="Y100" s="38">
        <f t="shared" si="32"/>
        <v>100</v>
      </c>
      <c r="Z100" s="168">
        <f t="shared" si="17"/>
        <v>91.869211648418698</v>
      </c>
      <c r="AA100" s="500" t="s">
        <v>407</v>
      </c>
      <c r="AB100" s="58">
        <f t="shared" si="19"/>
        <v>805941540</v>
      </c>
      <c r="AC100" s="143">
        <f>((55/55*100)+(4/4*100))/2</f>
        <v>100</v>
      </c>
      <c r="AD100" s="159">
        <f t="shared" si="27"/>
        <v>66.005596959918762</v>
      </c>
      <c r="AE100" s="160" t="s">
        <v>281</v>
      </c>
      <c r="AF100" s="304"/>
      <c r="AG100" s="478"/>
      <c r="AH100" s="486"/>
      <c r="AI100" s="486"/>
    </row>
    <row r="101" spans="1:35" s="163" customFormat="1" ht="58.5" customHeight="1" x14ac:dyDescent="0.25">
      <c r="A101" s="162"/>
      <c r="B101" s="299" t="s">
        <v>139</v>
      </c>
      <c r="C101" s="299" t="s">
        <v>73</v>
      </c>
      <c r="D101" s="299" t="s">
        <v>74</v>
      </c>
      <c r="E101" s="299" t="s">
        <v>83</v>
      </c>
      <c r="F101" s="299" t="s">
        <v>161</v>
      </c>
      <c r="G101" s="105" t="s">
        <v>72</v>
      </c>
      <c r="H101" s="519" t="s">
        <v>138</v>
      </c>
      <c r="I101" s="44">
        <v>30</v>
      </c>
      <c r="J101" s="34">
        <v>2028976500</v>
      </c>
      <c r="K101" s="362">
        <v>24</v>
      </c>
      <c r="L101" s="32">
        <f>705164000+275800000</f>
        <v>980964000</v>
      </c>
      <c r="M101" s="107">
        <v>6</v>
      </c>
      <c r="N101" s="34">
        <v>237999131</v>
      </c>
      <c r="O101" s="431">
        <v>0</v>
      </c>
      <c r="P101" s="439">
        <v>0</v>
      </c>
      <c r="Q101" s="422"/>
      <c r="R101" s="439"/>
      <c r="S101" s="173"/>
      <c r="T101" s="32"/>
      <c r="U101" s="50"/>
      <c r="V101" s="50"/>
      <c r="W101" s="153">
        <f t="shared" si="14"/>
        <v>0</v>
      </c>
      <c r="X101" s="32">
        <f t="shared" si="31"/>
        <v>0</v>
      </c>
      <c r="Y101" s="38">
        <f t="shared" si="32"/>
        <v>0</v>
      </c>
      <c r="Z101" s="168">
        <f t="shared" si="17"/>
        <v>0</v>
      </c>
      <c r="AA101" s="338">
        <f t="shared" si="33"/>
        <v>24</v>
      </c>
      <c r="AB101" s="58">
        <f t="shared" si="19"/>
        <v>980964000</v>
      </c>
      <c r="AC101" s="143">
        <f t="shared" si="34"/>
        <v>80</v>
      </c>
      <c r="AD101" s="159">
        <f t="shared" si="27"/>
        <v>48.347726057941038</v>
      </c>
      <c r="AE101" s="160" t="s">
        <v>281</v>
      </c>
      <c r="AF101" s="304"/>
      <c r="AG101" s="478"/>
      <c r="AH101" s="486"/>
      <c r="AI101" s="486"/>
    </row>
    <row r="102" spans="1:35" s="163" customFormat="1" ht="60" hidden="1" customHeight="1" x14ac:dyDescent="0.25">
      <c r="A102" s="162"/>
      <c r="B102" s="299" t="s">
        <v>274</v>
      </c>
      <c r="C102" s="299" t="s">
        <v>73</v>
      </c>
      <c r="D102" s="299" t="s">
        <v>74</v>
      </c>
      <c r="E102" s="299" t="s">
        <v>83</v>
      </c>
      <c r="F102" s="299" t="s">
        <v>409</v>
      </c>
      <c r="G102" s="105" t="s">
        <v>410</v>
      </c>
      <c r="H102" s="519" t="s">
        <v>411</v>
      </c>
      <c r="I102" s="44">
        <v>5</v>
      </c>
      <c r="J102" s="499">
        <v>610510000</v>
      </c>
      <c r="K102" s="362" t="s">
        <v>104</v>
      </c>
      <c r="L102" s="32" t="s">
        <v>104</v>
      </c>
      <c r="M102" s="107" t="s">
        <v>104</v>
      </c>
      <c r="N102" s="34" t="s">
        <v>104</v>
      </c>
      <c r="O102" s="422" t="s">
        <v>104</v>
      </c>
      <c r="P102" s="439" t="s">
        <v>104</v>
      </c>
      <c r="Q102" s="422"/>
      <c r="R102" s="439"/>
      <c r="S102" s="173"/>
      <c r="T102" s="32"/>
      <c r="U102" s="50"/>
      <c r="V102" s="50"/>
      <c r="W102" s="153" t="s">
        <v>104</v>
      </c>
      <c r="X102" s="32" t="s">
        <v>104</v>
      </c>
      <c r="Y102" s="38" t="s">
        <v>104</v>
      </c>
      <c r="Z102" s="168" t="s">
        <v>104</v>
      </c>
      <c r="AA102" s="338" t="s">
        <v>104</v>
      </c>
      <c r="AB102" s="58" t="s">
        <v>104</v>
      </c>
      <c r="AC102" s="143" t="s">
        <v>104</v>
      </c>
      <c r="AD102" s="159" t="s">
        <v>104</v>
      </c>
      <c r="AE102" s="160" t="s">
        <v>104</v>
      </c>
      <c r="AF102" s="304"/>
      <c r="AG102" s="478"/>
      <c r="AH102" s="486"/>
      <c r="AI102" s="486"/>
    </row>
    <row r="103" spans="1:35" s="163" customFormat="1" ht="54.75" customHeight="1" x14ac:dyDescent="0.25">
      <c r="A103" s="162"/>
      <c r="B103" s="299" t="s">
        <v>139</v>
      </c>
      <c r="C103" s="299" t="s">
        <v>73</v>
      </c>
      <c r="D103" s="299" t="s">
        <v>74</v>
      </c>
      <c r="E103" s="299" t="s">
        <v>83</v>
      </c>
      <c r="F103" s="299" t="s">
        <v>191</v>
      </c>
      <c r="G103" s="105" t="s">
        <v>192</v>
      </c>
      <c r="H103" s="519" t="s">
        <v>193</v>
      </c>
      <c r="I103" s="44">
        <v>20</v>
      </c>
      <c r="J103" s="310">
        <v>1392300000</v>
      </c>
      <c r="K103" s="361">
        <v>14</v>
      </c>
      <c r="L103" s="50">
        <f>385850000+111913000</f>
        <v>497763000</v>
      </c>
      <c r="M103" s="164" t="s">
        <v>401</v>
      </c>
      <c r="N103" s="34">
        <v>179012754</v>
      </c>
      <c r="O103" s="431">
        <v>0</v>
      </c>
      <c r="P103" s="439">
        <v>0</v>
      </c>
      <c r="Q103" s="422"/>
      <c r="R103" s="439"/>
      <c r="S103" s="107"/>
      <c r="T103" s="32"/>
      <c r="U103" s="164"/>
      <c r="V103" s="32"/>
      <c r="W103" s="153">
        <f t="shared" si="14"/>
        <v>0</v>
      </c>
      <c r="X103" s="32">
        <f t="shared" si="31"/>
        <v>0</v>
      </c>
      <c r="Y103" s="38">
        <f t="shared" si="32"/>
        <v>0</v>
      </c>
      <c r="Z103" s="168">
        <f t="shared" si="17"/>
        <v>0</v>
      </c>
      <c r="AA103" s="338">
        <f t="shared" si="33"/>
        <v>14</v>
      </c>
      <c r="AB103" s="58">
        <f t="shared" si="19"/>
        <v>497763000</v>
      </c>
      <c r="AC103" s="143">
        <f t="shared" si="34"/>
        <v>70</v>
      </c>
      <c r="AD103" s="159">
        <f t="shared" si="27"/>
        <v>35.751131221719454</v>
      </c>
      <c r="AE103" s="160" t="s">
        <v>281</v>
      </c>
      <c r="AF103" s="304"/>
      <c r="AG103" s="478"/>
      <c r="AH103" s="486"/>
      <c r="AI103" s="486"/>
    </row>
    <row r="104" spans="1:35" s="163" customFormat="1" ht="77.25" customHeight="1" x14ac:dyDescent="0.25">
      <c r="A104" s="162"/>
      <c r="B104" s="299" t="s">
        <v>139</v>
      </c>
      <c r="C104" s="299" t="s">
        <v>73</v>
      </c>
      <c r="D104" s="299" t="s">
        <v>74</v>
      </c>
      <c r="E104" s="299" t="s">
        <v>83</v>
      </c>
      <c r="F104" s="299" t="s">
        <v>194</v>
      </c>
      <c r="G104" s="105" t="s">
        <v>195</v>
      </c>
      <c r="H104" s="308" t="s">
        <v>196</v>
      </c>
      <c r="I104" s="44">
        <v>12</v>
      </c>
      <c r="J104" s="310">
        <v>654429731</v>
      </c>
      <c r="K104" s="361">
        <f>5+3</f>
        <v>8</v>
      </c>
      <c r="L104" s="50">
        <f>180270500+270966000</f>
        <v>451236500</v>
      </c>
      <c r="M104" s="92" t="s">
        <v>402</v>
      </c>
      <c r="N104" s="34">
        <v>311010000</v>
      </c>
      <c r="O104" s="431"/>
      <c r="P104" s="439">
        <v>102980000</v>
      </c>
      <c r="Q104" s="422"/>
      <c r="R104" s="439"/>
      <c r="S104" s="173"/>
      <c r="T104" s="32"/>
      <c r="U104" s="32"/>
      <c r="V104" s="50"/>
      <c r="W104" s="153">
        <f t="shared" si="14"/>
        <v>0</v>
      </c>
      <c r="X104" s="32">
        <f t="shared" si="31"/>
        <v>102980000</v>
      </c>
      <c r="Y104" s="38">
        <f t="shared" si="32"/>
        <v>0</v>
      </c>
      <c r="Z104" s="168">
        <f t="shared" si="17"/>
        <v>33.111475515256743</v>
      </c>
      <c r="AA104" s="338">
        <f t="shared" si="33"/>
        <v>8</v>
      </c>
      <c r="AB104" s="58">
        <f t="shared" si="19"/>
        <v>554216500</v>
      </c>
      <c r="AC104" s="143">
        <f t="shared" si="34"/>
        <v>66.666666666666657</v>
      </c>
      <c r="AD104" s="159">
        <f t="shared" si="27"/>
        <v>84.686937916639366</v>
      </c>
      <c r="AE104" s="160" t="s">
        <v>281</v>
      </c>
      <c r="AF104" s="304"/>
      <c r="AG104" s="478"/>
      <c r="AH104" s="486"/>
      <c r="AI104" s="486"/>
    </row>
    <row r="105" spans="1:35" s="163" customFormat="1" ht="58.5" customHeight="1" x14ac:dyDescent="0.25">
      <c r="A105" s="162"/>
      <c r="B105" s="299" t="s">
        <v>139</v>
      </c>
      <c r="C105" s="299" t="s">
        <v>73</v>
      </c>
      <c r="D105" s="299" t="s">
        <v>74</v>
      </c>
      <c r="E105" s="299" t="s">
        <v>83</v>
      </c>
      <c r="F105" s="299" t="s">
        <v>197</v>
      </c>
      <c r="G105" s="105" t="s">
        <v>198</v>
      </c>
      <c r="H105" s="519" t="s">
        <v>199</v>
      </c>
      <c r="I105" s="520">
        <v>8</v>
      </c>
      <c r="J105" s="311">
        <v>1313523666</v>
      </c>
      <c r="K105" s="361">
        <v>6</v>
      </c>
      <c r="L105" s="50">
        <f>407331300+394230000</f>
        <v>801561300</v>
      </c>
      <c r="M105" s="33">
        <v>2</v>
      </c>
      <c r="N105" s="34">
        <v>363103120</v>
      </c>
      <c r="O105" s="431">
        <v>0</v>
      </c>
      <c r="P105" s="439">
        <v>0</v>
      </c>
      <c r="Q105" s="422"/>
      <c r="R105" s="439"/>
      <c r="S105" s="33"/>
      <c r="T105" s="32"/>
      <c r="U105" s="92"/>
      <c r="V105" s="32"/>
      <c r="W105" s="153">
        <f t="shared" si="14"/>
        <v>0</v>
      </c>
      <c r="X105" s="32">
        <f t="shared" si="31"/>
        <v>0</v>
      </c>
      <c r="Y105" s="38">
        <f t="shared" si="32"/>
        <v>0</v>
      </c>
      <c r="Z105" s="168">
        <f t="shared" si="17"/>
        <v>0</v>
      </c>
      <c r="AA105" s="338">
        <f t="shared" si="33"/>
        <v>6</v>
      </c>
      <c r="AB105" s="58">
        <f t="shared" si="19"/>
        <v>801561300</v>
      </c>
      <c r="AC105" s="143">
        <f t="shared" si="34"/>
        <v>75</v>
      </c>
      <c r="AD105" s="159">
        <f t="shared" si="27"/>
        <v>61.023742529203886</v>
      </c>
      <c r="AE105" s="160" t="s">
        <v>281</v>
      </c>
      <c r="AF105" s="304"/>
      <c r="AG105" s="478"/>
      <c r="AH105" s="486"/>
      <c r="AI105" s="486"/>
    </row>
    <row r="106" spans="1:35" s="163" customFormat="1" ht="49.5" customHeight="1" x14ac:dyDescent="0.25">
      <c r="A106" s="162"/>
      <c r="B106" s="299" t="s">
        <v>139</v>
      </c>
      <c r="C106" s="299" t="s">
        <v>73</v>
      </c>
      <c r="D106" s="299" t="s">
        <v>74</v>
      </c>
      <c r="E106" s="299" t="s">
        <v>83</v>
      </c>
      <c r="F106" s="299" t="s">
        <v>200</v>
      </c>
      <c r="G106" s="105" t="s">
        <v>201</v>
      </c>
      <c r="H106" s="519" t="s">
        <v>202</v>
      </c>
      <c r="I106" s="44">
        <v>16</v>
      </c>
      <c r="J106" s="34">
        <v>2383943360</v>
      </c>
      <c r="K106" s="361">
        <f>7+4</f>
        <v>11</v>
      </c>
      <c r="L106" s="50">
        <f>954181324+595521290</f>
        <v>1549702614</v>
      </c>
      <c r="M106" s="37">
        <v>2</v>
      </c>
      <c r="N106" s="34">
        <v>161972105</v>
      </c>
      <c r="O106" s="422"/>
      <c r="P106" s="439">
        <v>52196300</v>
      </c>
      <c r="Q106" s="422"/>
      <c r="R106" s="439"/>
      <c r="S106" s="37"/>
      <c r="T106" s="32"/>
      <c r="U106" s="37"/>
      <c r="V106" s="32"/>
      <c r="W106" s="153">
        <f t="shared" si="14"/>
        <v>0</v>
      </c>
      <c r="X106" s="32">
        <f t="shared" si="31"/>
        <v>52196300</v>
      </c>
      <c r="Y106" s="38">
        <f t="shared" si="32"/>
        <v>0</v>
      </c>
      <c r="Z106" s="168">
        <f t="shared" si="17"/>
        <v>32.225487222012703</v>
      </c>
      <c r="AA106" s="338">
        <f t="shared" si="33"/>
        <v>11</v>
      </c>
      <c r="AB106" s="58">
        <f t="shared" si="19"/>
        <v>1601898914</v>
      </c>
      <c r="AC106" s="143">
        <f t="shared" si="34"/>
        <v>68.75</v>
      </c>
      <c r="AD106" s="159">
        <f t="shared" si="27"/>
        <v>67.195342845729357</v>
      </c>
      <c r="AE106" s="160" t="s">
        <v>281</v>
      </c>
      <c r="AF106" s="313"/>
      <c r="AG106" s="483"/>
      <c r="AH106" s="486"/>
      <c r="AI106" s="486"/>
    </row>
    <row r="107" spans="1:35" s="163" customFormat="1" ht="58.5" customHeight="1" x14ac:dyDescent="0.25">
      <c r="A107" s="162"/>
      <c r="B107" s="299" t="s">
        <v>139</v>
      </c>
      <c r="C107" s="299" t="s">
        <v>73</v>
      </c>
      <c r="D107" s="299" t="s">
        <v>74</v>
      </c>
      <c r="E107" s="299" t="s">
        <v>83</v>
      </c>
      <c r="F107" s="299" t="s">
        <v>203</v>
      </c>
      <c r="G107" s="105" t="s">
        <v>204</v>
      </c>
      <c r="H107" s="519" t="s">
        <v>205</v>
      </c>
      <c r="I107" s="44">
        <v>12</v>
      </c>
      <c r="J107" s="34">
        <v>1675577358</v>
      </c>
      <c r="K107" s="361">
        <f>7+3</f>
        <v>10</v>
      </c>
      <c r="L107" s="50">
        <f>639025238+400134000</f>
        <v>1039159238</v>
      </c>
      <c r="M107" s="33">
        <v>2</v>
      </c>
      <c r="N107" s="34">
        <v>420363277</v>
      </c>
      <c r="O107" s="422">
        <v>0</v>
      </c>
      <c r="P107" s="439">
        <v>0</v>
      </c>
      <c r="Q107" s="422"/>
      <c r="R107" s="439"/>
      <c r="S107" s="37"/>
      <c r="T107" s="32"/>
      <c r="U107" s="173"/>
      <c r="V107" s="32"/>
      <c r="W107" s="153">
        <f t="shared" si="14"/>
        <v>0</v>
      </c>
      <c r="X107" s="32">
        <f t="shared" si="31"/>
        <v>0</v>
      </c>
      <c r="Y107" s="38">
        <f t="shared" si="32"/>
        <v>0</v>
      </c>
      <c r="Z107" s="168">
        <f t="shared" si="17"/>
        <v>0</v>
      </c>
      <c r="AA107" s="338">
        <f t="shared" si="33"/>
        <v>10</v>
      </c>
      <c r="AB107" s="58">
        <f t="shared" si="19"/>
        <v>1039159238</v>
      </c>
      <c r="AC107" s="143">
        <f t="shared" si="34"/>
        <v>83.333333333333343</v>
      </c>
      <c r="AD107" s="159">
        <f t="shared" si="27"/>
        <v>62.017980431554633</v>
      </c>
      <c r="AE107" s="160" t="s">
        <v>281</v>
      </c>
      <c r="AF107" s="304"/>
      <c r="AG107" s="478"/>
      <c r="AH107" s="486"/>
      <c r="AI107" s="486"/>
    </row>
    <row r="108" spans="1:35" s="163" customFormat="1" ht="57.75" customHeight="1" x14ac:dyDescent="0.25">
      <c r="A108" s="162"/>
      <c r="B108" s="299" t="s">
        <v>274</v>
      </c>
      <c r="C108" s="299" t="s">
        <v>73</v>
      </c>
      <c r="D108" s="299" t="s">
        <v>74</v>
      </c>
      <c r="E108" s="299" t="s">
        <v>83</v>
      </c>
      <c r="F108" s="314" t="s">
        <v>206</v>
      </c>
      <c r="G108" s="114" t="s">
        <v>207</v>
      </c>
      <c r="H108" s="114" t="s">
        <v>208</v>
      </c>
      <c r="I108" s="44">
        <v>89</v>
      </c>
      <c r="J108" s="34">
        <v>1284368904</v>
      </c>
      <c r="K108" s="361">
        <f>65+12</f>
        <v>77</v>
      </c>
      <c r="L108" s="50">
        <f>471920010+253491000</f>
        <v>725411010</v>
      </c>
      <c r="M108" s="33">
        <v>12</v>
      </c>
      <c r="N108" s="34">
        <v>252438140</v>
      </c>
      <c r="O108" s="422">
        <v>3</v>
      </c>
      <c r="P108" s="439">
        <v>21014000</v>
      </c>
      <c r="Q108" s="422"/>
      <c r="R108" s="439"/>
      <c r="S108" s="173"/>
      <c r="T108" s="32"/>
      <c r="U108" s="74"/>
      <c r="V108" s="32"/>
      <c r="W108" s="153">
        <f t="shared" si="14"/>
        <v>3</v>
      </c>
      <c r="X108" s="32">
        <f t="shared" si="31"/>
        <v>21014000</v>
      </c>
      <c r="Y108" s="38">
        <f>W108/12*100</f>
        <v>25</v>
      </c>
      <c r="Z108" s="168">
        <f t="shared" si="17"/>
        <v>8.3244156370348801</v>
      </c>
      <c r="AA108" s="338">
        <f t="shared" si="33"/>
        <v>80</v>
      </c>
      <c r="AB108" s="58">
        <f t="shared" si="19"/>
        <v>746425010</v>
      </c>
      <c r="AC108" s="143">
        <f t="shared" si="34"/>
        <v>89.887640449438194</v>
      </c>
      <c r="AD108" s="159">
        <f t="shared" si="27"/>
        <v>58.116091698837955</v>
      </c>
      <c r="AE108" s="160" t="s">
        <v>281</v>
      </c>
      <c r="AF108" s="304"/>
      <c r="AG108" s="478"/>
      <c r="AH108" s="486"/>
      <c r="AI108" s="486"/>
    </row>
    <row r="109" spans="1:35" s="163" customFormat="1" ht="85.5" customHeight="1" x14ac:dyDescent="0.25">
      <c r="A109" s="162"/>
      <c r="B109" s="299" t="s">
        <v>286</v>
      </c>
      <c r="C109" s="299" t="s">
        <v>73</v>
      </c>
      <c r="D109" s="299" t="s">
        <v>74</v>
      </c>
      <c r="E109" s="299" t="s">
        <v>83</v>
      </c>
      <c r="F109" s="314" t="s">
        <v>209</v>
      </c>
      <c r="G109" s="114" t="s">
        <v>210</v>
      </c>
      <c r="H109" s="114" t="s">
        <v>420</v>
      </c>
      <c r="I109" s="44">
        <v>8</v>
      </c>
      <c r="J109" s="34">
        <v>909636000</v>
      </c>
      <c r="K109" s="361">
        <v>5</v>
      </c>
      <c r="L109" s="50">
        <f>362136670+110124600</f>
        <v>472261270</v>
      </c>
      <c r="M109" s="33">
        <v>3</v>
      </c>
      <c r="N109" s="34">
        <v>195716927</v>
      </c>
      <c r="O109" s="103">
        <v>0</v>
      </c>
      <c r="P109" s="439">
        <v>0</v>
      </c>
      <c r="Q109" s="422"/>
      <c r="R109" s="439"/>
      <c r="S109" s="173"/>
      <c r="T109" s="32"/>
      <c r="U109" s="50"/>
      <c r="V109" s="32"/>
      <c r="W109" s="153">
        <f t="shared" si="14"/>
        <v>0</v>
      </c>
      <c r="X109" s="32">
        <f t="shared" si="31"/>
        <v>0</v>
      </c>
      <c r="Y109" s="38">
        <f t="shared" si="32"/>
        <v>0</v>
      </c>
      <c r="Z109" s="168">
        <f t="shared" si="17"/>
        <v>0</v>
      </c>
      <c r="AA109" s="338">
        <f t="shared" si="33"/>
        <v>5</v>
      </c>
      <c r="AB109" s="58">
        <f t="shared" si="19"/>
        <v>472261270</v>
      </c>
      <c r="AC109" s="143">
        <f t="shared" si="34"/>
        <v>62.5</v>
      </c>
      <c r="AD109" s="159">
        <f t="shared" si="27"/>
        <v>51.917609901103305</v>
      </c>
      <c r="AE109" s="160" t="s">
        <v>281</v>
      </c>
      <c r="AF109" s="304"/>
      <c r="AG109" s="478"/>
      <c r="AH109" s="493" t="s">
        <v>386</v>
      </c>
      <c r="AI109" s="493" t="s">
        <v>387</v>
      </c>
    </row>
    <row r="110" spans="1:35" s="163" customFormat="1" ht="36.75" customHeight="1" x14ac:dyDescent="0.25">
      <c r="A110" s="162"/>
      <c r="B110" s="165">
        <v>1</v>
      </c>
      <c r="C110" s="165">
        <v>20</v>
      </c>
      <c r="D110" s="166" t="s">
        <v>73</v>
      </c>
      <c r="E110" s="166" t="s">
        <v>83</v>
      </c>
      <c r="F110" s="167" t="s">
        <v>211</v>
      </c>
      <c r="G110" s="114" t="s">
        <v>212</v>
      </c>
      <c r="H110" s="114" t="s">
        <v>213</v>
      </c>
      <c r="I110" s="44">
        <v>7</v>
      </c>
      <c r="J110" s="501">
        <v>967570000</v>
      </c>
      <c r="K110" s="361">
        <v>3</v>
      </c>
      <c r="L110" s="50">
        <f>219885000+214285000</f>
        <v>434170000</v>
      </c>
      <c r="M110" s="33">
        <v>1</v>
      </c>
      <c r="N110" s="34">
        <v>148625471</v>
      </c>
      <c r="O110" s="431">
        <v>0</v>
      </c>
      <c r="P110" s="439">
        <v>0</v>
      </c>
      <c r="Q110" s="103"/>
      <c r="R110" s="439"/>
      <c r="S110" s="173"/>
      <c r="T110" s="32"/>
      <c r="U110" s="50"/>
      <c r="V110" s="50"/>
      <c r="W110" s="153">
        <f t="shared" si="14"/>
        <v>0</v>
      </c>
      <c r="X110" s="32">
        <f t="shared" si="31"/>
        <v>0</v>
      </c>
      <c r="Y110" s="38">
        <f t="shared" si="32"/>
        <v>0</v>
      </c>
      <c r="Z110" s="168">
        <f t="shared" si="17"/>
        <v>0</v>
      </c>
      <c r="AA110" s="338">
        <f t="shared" si="33"/>
        <v>3</v>
      </c>
      <c r="AB110" s="58">
        <f t="shared" si="19"/>
        <v>434170000</v>
      </c>
      <c r="AC110" s="143">
        <f t="shared" si="34"/>
        <v>42.857142857142854</v>
      </c>
      <c r="AD110" s="159">
        <f t="shared" si="27"/>
        <v>44.872205628533337</v>
      </c>
      <c r="AE110" s="160" t="s">
        <v>281</v>
      </c>
      <c r="AF110" s="304"/>
      <c r="AG110" s="478"/>
      <c r="AH110" s="486"/>
      <c r="AI110" s="486"/>
    </row>
    <row r="111" spans="1:35" s="163" customFormat="1" ht="39" customHeight="1" x14ac:dyDescent="0.25">
      <c r="A111" s="162"/>
      <c r="B111" s="165">
        <v>1</v>
      </c>
      <c r="C111" s="165">
        <v>20</v>
      </c>
      <c r="D111" s="166" t="s">
        <v>73</v>
      </c>
      <c r="E111" s="166" t="s">
        <v>83</v>
      </c>
      <c r="F111" s="167" t="s">
        <v>214</v>
      </c>
      <c r="G111" s="114" t="s">
        <v>215</v>
      </c>
      <c r="H111" s="114" t="s">
        <v>216</v>
      </c>
      <c r="I111" s="44">
        <v>11</v>
      </c>
      <c r="J111" s="34">
        <v>696150000</v>
      </c>
      <c r="K111" s="361">
        <v>3</v>
      </c>
      <c r="L111" s="50">
        <v>83108000</v>
      </c>
      <c r="M111" s="33"/>
      <c r="N111" s="34"/>
      <c r="O111" s="264"/>
      <c r="P111" s="406"/>
      <c r="Q111" s="390"/>
      <c r="R111" s="386"/>
      <c r="S111" s="173"/>
      <c r="T111" s="32"/>
      <c r="U111" s="74"/>
      <c r="V111" s="50"/>
      <c r="W111" s="153">
        <f t="shared" si="14"/>
        <v>0</v>
      </c>
      <c r="X111" s="32">
        <v>0</v>
      </c>
      <c r="Y111" s="38" t="e">
        <f t="shared" si="32"/>
        <v>#DIV/0!</v>
      </c>
      <c r="Z111" s="168">
        <v>0</v>
      </c>
      <c r="AA111" s="338">
        <f t="shared" si="33"/>
        <v>3</v>
      </c>
      <c r="AB111" s="58">
        <f>SUM(L111+X111)</f>
        <v>83108000</v>
      </c>
      <c r="AC111" s="143">
        <f t="shared" si="34"/>
        <v>27.27272727272727</v>
      </c>
      <c r="AD111" s="159">
        <f t="shared" si="27"/>
        <v>11.938231702937586</v>
      </c>
      <c r="AE111" s="160" t="s">
        <v>281</v>
      </c>
      <c r="AF111" s="304"/>
      <c r="AG111" s="478"/>
      <c r="AH111" s="486"/>
      <c r="AI111" s="486"/>
    </row>
    <row r="112" spans="1:35" s="163" customFormat="1" ht="126.75" customHeight="1" x14ac:dyDescent="0.25">
      <c r="A112" s="162"/>
      <c r="B112" s="165">
        <v>24</v>
      </c>
      <c r="C112" s="165">
        <v>20</v>
      </c>
      <c r="D112" s="166" t="s">
        <v>73</v>
      </c>
      <c r="E112" s="166" t="s">
        <v>83</v>
      </c>
      <c r="F112" s="167" t="s">
        <v>217</v>
      </c>
      <c r="G112" s="114" t="s">
        <v>218</v>
      </c>
      <c r="H112" s="114" t="s">
        <v>219</v>
      </c>
      <c r="I112" s="44">
        <v>64</v>
      </c>
      <c r="J112" s="34">
        <v>374064600</v>
      </c>
      <c r="K112" s="361">
        <f>16+24</f>
        <v>40</v>
      </c>
      <c r="L112" s="50">
        <f>209611000+27500000</f>
        <v>237111000</v>
      </c>
      <c r="M112" s="33">
        <v>24</v>
      </c>
      <c r="N112" s="34">
        <v>60110918</v>
      </c>
      <c r="O112" s="431"/>
      <c r="P112" s="439">
        <v>3000000</v>
      </c>
      <c r="Q112" s="422"/>
      <c r="R112" s="439"/>
      <c r="S112" s="37"/>
      <c r="T112" s="32"/>
      <c r="U112" s="37"/>
      <c r="V112" s="32"/>
      <c r="W112" s="153">
        <f t="shared" si="14"/>
        <v>0</v>
      </c>
      <c r="X112" s="32">
        <f t="shared" si="31"/>
        <v>3000000</v>
      </c>
      <c r="Y112" s="38">
        <f t="shared" si="32"/>
        <v>0</v>
      </c>
      <c r="Z112" s="168">
        <f t="shared" si="17"/>
        <v>4.9907738890296098</v>
      </c>
      <c r="AA112" s="338">
        <f t="shared" si="33"/>
        <v>40</v>
      </c>
      <c r="AB112" s="58">
        <f t="shared" si="19"/>
        <v>240111000</v>
      </c>
      <c r="AC112" s="143">
        <f t="shared" si="34"/>
        <v>62.5</v>
      </c>
      <c r="AD112" s="159">
        <f t="shared" si="27"/>
        <v>64.189714824658623</v>
      </c>
      <c r="AE112" s="160" t="s">
        <v>281</v>
      </c>
      <c r="AF112" s="304"/>
      <c r="AG112" s="478"/>
      <c r="AH112" s="493" t="s">
        <v>388</v>
      </c>
      <c r="AI112" s="493" t="s">
        <v>389</v>
      </c>
    </row>
    <row r="113" spans="1:35" s="163" customFormat="1" ht="56.25" customHeight="1" x14ac:dyDescent="0.25">
      <c r="A113" s="162"/>
      <c r="B113" s="165">
        <v>1</v>
      </c>
      <c r="C113" s="165">
        <v>20</v>
      </c>
      <c r="D113" s="166" t="s">
        <v>73</v>
      </c>
      <c r="E113" s="166" t="s">
        <v>83</v>
      </c>
      <c r="F113" s="167" t="s">
        <v>220</v>
      </c>
      <c r="G113" s="114" t="s">
        <v>221</v>
      </c>
      <c r="H113" s="114" t="s">
        <v>222</v>
      </c>
      <c r="I113" s="44">
        <v>1</v>
      </c>
      <c r="J113" s="34">
        <v>186275000</v>
      </c>
      <c r="K113" s="361">
        <v>1</v>
      </c>
      <c r="L113" s="50">
        <v>185474000</v>
      </c>
      <c r="M113" s="92"/>
      <c r="N113" s="34"/>
      <c r="O113" s="264"/>
      <c r="P113" s="406"/>
      <c r="Q113" s="411"/>
      <c r="R113" s="386"/>
      <c r="S113" s="37"/>
      <c r="T113" s="32"/>
      <c r="U113" s="50"/>
      <c r="V113" s="32"/>
      <c r="W113" s="153">
        <f t="shared" si="14"/>
        <v>0</v>
      </c>
      <c r="X113" s="32">
        <f t="shared" si="31"/>
        <v>0</v>
      </c>
      <c r="Y113" s="38" t="e">
        <f t="shared" si="32"/>
        <v>#DIV/0!</v>
      </c>
      <c r="Z113" s="168">
        <v>0</v>
      </c>
      <c r="AA113" s="338">
        <f t="shared" si="33"/>
        <v>1</v>
      </c>
      <c r="AB113" s="58">
        <f t="shared" si="19"/>
        <v>185474000</v>
      </c>
      <c r="AC113" s="143">
        <f t="shared" si="34"/>
        <v>100</v>
      </c>
      <c r="AD113" s="159">
        <f t="shared" si="27"/>
        <v>99.569990605287884</v>
      </c>
      <c r="AE113" s="160" t="s">
        <v>281</v>
      </c>
      <c r="AF113" s="304"/>
      <c r="AG113" s="478"/>
      <c r="AH113" s="486"/>
      <c r="AI113" s="486"/>
    </row>
    <row r="114" spans="1:35" s="163" customFormat="1" ht="58.5" customHeight="1" x14ac:dyDescent="0.25">
      <c r="A114" s="162"/>
      <c r="B114" s="165">
        <v>1</v>
      </c>
      <c r="C114" s="165">
        <v>20</v>
      </c>
      <c r="D114" s="166" t="s">
        <v>73</v>
      </c>
      <c r="E114" s="166" t="s">
        <v>83</v>
      </c>
      <c r="F114" s="167" t="s">
        <v>223</v>
      </c>
      <c r="G114" s="114" t="s">
        <v>224</v>
      </c>
      <c r="H114" s="114" t="s">
        <v>225</v>
      </c>
      <c r="I114" s="44">
        <v>4</v>
      </c>
      <c r="J114" s="34">
        <v>696150000</v>
      </c>
      <c r="K114" s="361">
        <v>1</v>
      </c>
      <c r="L114" s="50">
        <v>257350000</v>
      </c>
      <c r="M114" s="37">
        <v>1</v>
      </c>
      <c r="N114" s="34">
        <v>334885000</v>
      </c>
      <c r="O114" s="264"/>
      <c r="P114" s="406"/>
      <c r="Q114" s="411"/>
      <c r="R114" s="386"/>
      <c r="S114" s="173"/>
      <c r="T114" s="174"/>
      <c r="U114" s="37"/>
      <c r="V114" s="32"/>
      <c r="W114" s="153">
        <f t="shared" si="14"/>
        <v>0</v>
      </c>
      <c r="X114" s="32">
        <f t="shared" si="31"/>
        <v>0</v>
      </c>
      <c r="Y114" s="38">
        <f t="shared" si="32"/>
        <v>0</v>
      </c>
      <c r="Z114" s="168">
        <v>0</v>
      </c>
      <c r="AA114" s="338">
        <f t="shared" si="33"/>
        <v>1</v>
      </c>
      <c r="AB114" s="58">
        <f t="shared" si="19"/>
        <v>257350000</v>
      </c>
      <c r="AC114" s="143">
        <f t="shared" si="34"/>
        <v>25</v>
      </c>
      <c r="AD114" s="159">
        <f t="shared" si="27"/>
        <v>36.967607555842854</v>
      </c>
      <c r="AE114" s="160" t="s">
        <v>281</v>
      </c>
      <c r="AF114" s="169"/>
      <c r="AG114" s="169"/>
      <c r="AH114" s="486"/>
      <c r="AI114" s="486"/>
    </row>
    <row r="115" spans="1:35" s="163" customFormat="1" ht="47.25" customHeight="1" x14ac:dyDescent="0.25">
      <c r="A115" s="162"/>
      <c r="B115" s="165">
        <v>1</v>
      </c>
      <c r="C115" s="165">
        <v>20</v>
      </c>
      <c r="D115" s="166" t="s">
        <v>73</v>
      </c>
      <c r="E115" s="166" t="s">
        <v>83</v>
      </c>
      <c r="F115" s="167" t="s">
        <v>226</v>
      </c>
      <c r="G115" s="114" t="s">
        <v>227</v>
      </c>
      <c r="H115" s="114" t="s">
        <v>228</v>
      </c>
      <c r="I115" s="44">
        <v>4</v>
      </c>
      <c r="J115" s="499">
        <v>1161293518</v>
      </c>
      <c r="K115" s="361">
        <f>2+1</f>
        <v>3</v>
      </c>
      <c r="L115" s="50">
        <f>449274517+157798000</f>
        <v>607072517</v>
      </c>
      <c r="M115" s="45">
        <v>1</v>
      </c>
      <c r="N115" s="34">
        <v>221952061</v>
      </c>
      <c r="O115" s="431">
        <v>0</v>
      </c>
      <c r="P115" s="439">
        <v>0</v>
      </c>
      <c r="Q115" s="422"/>
      <c r="R115" s="439"/>
      <c r="S115" s="173"/>
      <c r="T115" s="32"/>
      <c r="U115" s="50"/>
      <c r="V115" s="50"/>
      <c r="W115" s="153">
        <f t="shared" si="14"/>
        <v>0</v>
      </c>
      <c r="X115" s="32">
        <f t="shared" si="31"/>
        <v>0</v>
      </c>
      <c r="Y115" s="38">
        <f t="shared" si="32"/>
        <v>0</v>
      </c>
      <c r="Z115" s="168">
        <f t="shared" si="17"/>
        <v>0</v>
      </c>
      <c r="AA115" s="338">
        <f t="shared" si="33"/>
        <v>3</v>
      </c>
      <c r="AB115" s="58">
        <f t="shared" si="19"/>
        <v>607072517</v>
      </c>
      <c r="AC115" s="143">
        <f t="shared" si="34"/>
        <v>75</v>
      </c>
      <c r="AD115" s="159">
        <f t="shared" si="27"/>
        <v>52.275545121918086</v>
      </c>
      <c r="AE115" s="160" t="s">
        <v>281</v>
      </c>
      <c r="AF115" s="304"/>
      <c r="AG115" s="478"/>
      <c r="AH115" s="486"/>
      <c r="AI115" s="486"/>
    </row>
    <row r="116" spans="1:35" s="163" customFormat="1" ht="63" customHeight="1" x14ac:dyDescent="0.25">
      <c r="A116" s="162"/>
      <c r="B116" s="165">
        <v>1</v>
      </c>
      <c r="C116" s="165">
        <v>20</v>
      </c>
      <c r="D116" s="166" t="s">
        <v>73</v>
      </c>
      <c r="E116" s="166" t="s">
        <v>83</v>
      </c>
      <c r="F116" s="167" t="s">
        <v>248</v>
      </c>
      <c r="G116" s="114" t="s">
        <v>253</v>
      </c>
      <c r="H116" s="114" t="s">
        <v>254</v>
      </c>
      <c r="I116" s="44">
        <v>3</v>
      </c>
      <c r="J116" s="34">
        <v>827500000</v>
      </c>
      <c r="K116" s="364">
        <v>1</v>
      </c>
      <c r="L116" s="32">
        <v>139723500</v>
      </c>
      <c r="M116" s="45"/>
      <c r="N116" s="34"/>
      <c r="O116" s="264"/>
      <c r="P116" s="407"/>
      <c r="Q116" s="390"/>
      <c r="R116" s="386"/>
      <c r="S116" s="173"/>
      <c r="T116" s="32"/>
      <c r="U116" s="50"/>
      <c r="V116" s="32"/>
      <c r="W116" s="153">
        <f t="shared" si="14"/>
        <v>0</v>
      </c>
      <c r="X116" s="32">
        <f t="shared" si="31"/>
        <v>0</v>
      </c>
      <c r="Y116" s="38" t="e">
        <f t="shared" si="32"/>
        <v>#DIV/0!</v>
      </c>
      <c r="Z116" s="168">
        <v>0</v>
      </c>
      <c r="AA116" s="338">
        <f t="shared" si="33"/>
        <v>1</v>
      </c>
      <c r="AB116" s="58">
        <f t="shared" si="19"/>
        <v>139723500</v>
      </c>
      <c r="AC116" s="143">
        <f t="shared" si="34"/>
        <v>33.333333333333329</v>
      </c>
      <c r="AD116" s="159">
        <f t="shared" si="27"/>
        <v>16.88501510574018</v>
      </c>
      <c r="AE116" s="160" t="s">
        <v>281</v>
      </c>
      <c r="AF116" s="304"/>
      <c r="AG116" s="478"/>
      <c r="AH116" s="486"/>
      <c r="AI116" s="486"/>
    </row>
    <row r="117" spans="1:35" s="163" customFormat="1" ht="89.25" customHeight="1" x14ac:dyDescent="0.25">
      <c r="A117" s="162"/>
      <c r="B117" s="165">
        <v>1</v>
      </c>
      <c r="C117" s="165">
        <v>20</v>
      </c>
      <c r="D117" s="166" t="s">
        <v>73</v>
      </c>
      <c r="E117" s="166" t="s">
        <v>83</v>
      </c>
      <c r="F117" s="167" t="s">
        <v>249</v>
      </c>
      <c r="G117" s="114" t="s">
        <v>255</v>
      </c>
      <c r="H117" s="114" t="s">
        <v>256</v>
      </c>
      <c r="I117" s="44">
        <v>90</v>
      </c>
      <c r="J117" s="34">
        <v>430295250</v>
      </c>
      <c r="K117" s="363">
        <f>30+30</f>
        <v>60</v>
      </c>
      <c r="L117" s="32">
        <f>122503000+44790000</f>
        <v>167293000</v>
      </c>
      <c r="M117" s="45">
        <v>30</v>
      </c>
      <c r="N117" s="34">
        <v>88840644</v>
      </c>
      <c r="O117" s="422"/>
      <c r="P117" s="440">
        <v>12700000</v>
      </c>
      <c r="Q117" s="422"/>
      <c r="R117" s="439"/>
      <c r="S117" s="37"/>
      <c r="T117" s="32"/>
      <c r="U117" s="50"/>
      <c r="V117" s="32"/>
      <c r="W117" s="153">
        <f t="shared" si="14"/>
        <v>0</v>
      </c>
      <c r="X117" s="32">
        <f t="shared" si="31"/>
        <v>12700000</v>
      </c>
      <c r="Y117" s="38">
        <f t="shared" si="32"/>
        <v>0</v>
      </c>
      <c r="Z117" s="168">
        <f>SUM(X117/N117)*100</f>
        <v>14.295258823202586</v>
      </c>
      <c r="AA117" s="338">
        <f t="shared" si="33"/>
        <v>60</v>
      </c>
      <c r="AB117" s="58">
        <f t="shared" si="19"/>
        <v>179993000</v>
      </c>
      <c r="AC117" s="143">
        <f t="shared" si="34"/>
        <v>66.666666666666657</v>
      </c>
      <c r="AD117" s="159">
        <f t="shared" si="27"/>
        <v>41.830115484658499</v>
      </c>
      <c r="AE117" s="160" t="s">
        <v>281</v>
      </c>
      <c r="AF117" s="304"/>
      <c r="AG117" s="478"/>
      <c r="AH117" s="486"/>
      <c r="AI117" s="486"/>
    </row>
    <row r="118" spans="1:35" s="163" customFormat="1" ht="48" customHeight="1" x14ac:dyDescent="0.25">
      <c r="A118" s="162"/>
      <c r="B118" s="165">
        <v>1</v>
      </c>
      <c r="C118" s="165">
        <v>20</v>
      </c>
      <c r="D118" s="166" t="s">
        <v>73</v>
      </c>
      <c r="E118" s="166" t="s">
        <v>83</v>
      </c>
      <c r="F118" s="167" t="s">
        <v>250</v>
      </c>
      <c r="G118" s="114" t="s">
        <v>257</v>
      </c>
      <c r="H118" s="114" t="s">
        <v>258</v>
      </c>
      <c r="I118" s="44">
        <v>3</v>
      </c>
      <c r="J118" s="34">
        <v>827500000</v>
      </c>
      <c r="K118" s="363">
        <v>1</v>
      </c>
      <c r="L118" s="32">
        <v>43404000</v>
      </c>
      <c r="M118" s="45"/>
      <c r="N118" s="34"/>
      <c r="O118" s="264"/>
      <c r="P118" s="406"/>
      <c r="Q118" s="390"/>
      <c r="R118" s="386"/>
      <c r="S118" s="173"/>
      <c r="T118" s="32"/>
      <c r="U118" s="45"/>
      <c r="V118" s="32"/>
      <c r="W118" s="153">
        <f t="shared" si="14"/>
        <v>0</v>
      </c>
      <c r="X118" s="32">
        <f t="shared" si="31"/>
        <v>0</v>
      </c>
      <c r="Y118" s="38" t="e">
        <f t="shared" si="32"/>
        <v>#DIV/0!</v>
      </c>
      <c r="Z118" s="168">
        <v>0</v>
      </c>
      <c r="AA118" s="338">
        <f t="shared" si="33"/>
        <v>1</v>
      </c>
      <c r="AB118" s="58">
        <f t="shared" si="19"/>
        <v>43404000</v>
      </c>
      <c r="AC118" s="143">
        <f t="shared" si="34"/>
        <v>33.333333333333329</v>
      </c>
      <c r="AD118" s="159">
        <f t="shared" si="27"/>
        <v>5.2451963746223562</v>
      </c>
      <c r="AE118" s="160" t="s">
        <v>281</v>
      </c>
      <c r="AF118" s="304"/>
      <c r="AG118" s="478"/>
      <c r="AH118" s="486"/>
      <c r="AI118" s="486"/>
    </row>
    <row r="119" spans="1:35" ht="54" hidden="1" x14ac:dyDescent="0.25">
      <c r="A119" s="26"/>
      <c r="B119" s="93" t="s">
        <v>274</v>
      </c>
      <c r="C119" s="93" t="s">
        <v>73</v>
      </c>
      <c r="D119" s="93" t="s">
        <v>74</v>
      </c>
      <c r="E119" s="93" t="s">
        <v>83</v>
      </c>
      <c r="F119" s="93" t="s">
        <v>278</v>
      </c>
      <c r="G119" s="100" t="s">
        <v>279</v>
      </c>
      <c r="H119" s="288" t="s">
        <v>280</v>
      </c>
      <c r="I119" s="51"/>
      <c r="J119" s="57"/>
      <c r="K119" s="346"/>
      <c r="L119" s="61"/>
      <c r="M119" s="384"/>
      <c r="N119" s="385"/>
      <c r="O119" s="387"/>
      <c r="P119" s="386"/>
      <c r="Q119" s="391"/>
      <c r="R119" s="386"/>
      <c r="S119" s="71"/>
      <c r="T119" s="69"/>
      <c r="U119" s="72"/>
      <c r="V119" s="69"/>
      <c r="W119" s="153">
        <f t="shared" si="14"/>
        <v>0</v>
      </c>
      <c r="X119" s="396"/>
      <c r="Y119" s="38"/>
      <c r="Z119" s="95"/>
      <c r="AA119" s="338"/>
      <c r="AB119" s="61"/>
      <c r="AC119" s="143"/>
      <c r="AD119" s="39"/>
      <c r="AE119" s="160"/>
      <c r="AF119" s="98"/>
      <c r="AG119" s="472"/>
      <c r="AH119" s="484"/>
      <c r="AI119" s="484"/>
    </row>
    <row r="120" spans="1:35" s="163" customFormat="1" ht="54" hidden="1" x14ac:dyDescent="0.25">
      <c r="A120" s="162"/>
      <c r="B120" s="299" t="s">
        <v>139</v>
      </c>
      <c r="C120" s="299" t="s">
        <v>73</v>
      </c>
      <c r="D120" s="299" t="s">
        <v>74</v>
      </c>
      <c r="E120" s="299" t="s">
        <v>83</v>
      </c>
      <c r="F120" s="299" t="s">
        <v>149</v>
      </c>
      <c r="G120" s="28" t="s">
        <v>66</v>
      </c>
      <c r="H120" s="309" t="s">
        <v>282</v>
      </c>
      <c r="I120" s="33"/>
      <c r="J120" s="79"/>
      <c r="K120" s="353"/>
      <c r="L120" s="58"/>
      <c r="M120" s="388"/>
      <c r="N120" s="389"/>
      <c r="O120" s="387"/>
      <c r="P120" s="386"/>
      <c r="Q120" s="391"/>
      <c r="R120" s="386"/>
      <c r="S120" s="276"/>
      <c r="T120" s="58"/>
      <c r="U120" s="58"/>
      <c r="V120" s="66"/>
      <c r="W120" s="153">
        <f t="shared" si="14"/>
        <v>0</v>
      </c>
      <c r="X120" s="312"/>
      <c r="Y120" s="38"/>
      <c r="Z120" s="168"/>
      <c r="AA120" s="338"/>
      <c r="AB120" s="58"/>
      <c r="AC120" s="143"/>
      <c r="AD120" s="159"/>
      <c r="AE120" s="160"/>
      <c r="AF120" s="309"/>
      <c r="AG120" s="482"/>
      <c r="AH120" s="490"/>
      <c r="AI120" s="486"/>
    </row>
    <row r="121" spans="1:35" s="163" customFormat="1" ht="117.75" hidden="1" customHeight="1" x14ac:dyDescent="0.25">
      <c r="A121" s="162"/>
      <c r="B121" s="299" t="s">
        <v>274</v>
      </c>
      <c r="C121" s="299" t="s">
        <v>73</v>
      </c>
      <c r="D121" s="299" t="s">
        <v>74</v>
      </c>
      <c r="E121" s="299" t="s">
        <v>83</v>
      </c>
      <c r="F121" s="299" t="s">
        <v>283</v>
      </c>
      <c r="G121" s="28" t="s">
        <v>284</v>
      </c>
      <c r="H121" s="309" t="s">
        <v>285</v>
      </c>
      <c r="I121" s="33"/>
      <c r="J121" s="79"/>
      <c r="K121" s="353"/>
      <c r="L121" s="79"/>
      <c r="M121" s="384"/>
      <c r="N121" s="385"/>
      <c r="O121" s="409"/>
      <c r="P121" s="386"/>
      <c r="Q121" s="409"/>
      <c r="R121" s="386"/>
      <c r="S121" s="302"/>
      <c r="T121" s="79"/>
      <c r="U121" s="302"/>
      <c r="V121" s="79"/>
      <c r="W121" s="153">
        <f t="shared" si="14"/>
        <v>0</v>
      </c>
      <c r="X121" s="312"/>
      <c r="Y121" s="38"/>
      <c r="Z121" s="168"/>
      <c r="AA121" s="338"/>
      <c r="AB121" s="58"/>
      <c r="AC121" s="143"/>
      <c r="AD121" s="159"/>
      <c r="AE121" s="160"/>
      <c r="AF121" s="304"/>
      <c r="AG121" s="478"/>
      <c r="AH121" s="486"/>
      <c r="AI121" s="486"/>
    </row>
    <row r="122" spans="1:35" s="163" customFormat="1" ht="40.5" x14ac:dyDescent="0.25">
      <c r="A122" s="162"/>
      <c r="B122" s="316">
        <v>1</v>
      </c>
      <c r="C122" s="316">
        <v>20</v>
      </c>
      <c r="D122" s="317" t="s">
        <v>73</v>
      </c>
      <c r="E122" s="317" t="s">
        <v>147</v>
      </c>
      <c r="F122" s="318"/>
      <c r="G122" s="420" t="s">
        <v>287</v>
      </c>
      <c r="H122" s="383" t="s">
        <v>288</v>
      </c>
      <c r="I122" s="382">
        <f>I123</f>
        <v>20</v>
      </c>
      <c r="J122" s="380">
        <f>J123</f>
        <v>1519030572</v>
      </c>
      <c r="K122" s="381">
        <f>K123</f>
        <v>16</v>
      </c>
      <c r="L122" s="18">
        <f>L123</f>
        <v>1182803250</v>
      </c>
      <c r="M122" s="20">
        <v>4</v>
      </c>
      <c r="N122" s="380">
        <f>SUM(N123)</f>
        <v>649500000</v>
      </c>
      <c r="O122" s="412"/>
      <c r="P122" s="413"/>
      <c r="Q122" s="412"/>
      <c r="R122" s="413"/>
      <c r="S122" s="321">
        <v>2</v>
      </c>
      <c r="T122" s="320">
        <f>SUM(T123)</f>
        <v>0</v>
      </c>
      <c r="U122" s="319">
        <v>2</v>
      </c>
      <c r="V122" s="320">
        <v>513950000</v>
      </c>
      <c r="W122" s="319">
        <f t="shared" si="14"/>
        <v>4</v>
      </c>
      <c r="X122" s="320">
        <f>SUM(P122+R122+T122+V122)</f>
        <v>513950000</v>
      </c>
      <c r="Y122" s="368">
        <f t="shared" si="32"/>
        <v>100</v>
      </c>
      <c r="Z122" s="461">
        <f>SUM(X122/N122)*100</f>
        <v>79.130100076982288</v>
      </c>
      <c r="AA122" s="339">
        <f t="shared" si="33"/>
        <v>20</v>
      </c>
      <c r="AB122" s="462">
        <f>SUM(L122+X122)</f>
        <v>1696753250</v>
      </c>
      <c r="AC122" s="369">
        <f t="shared" si="34"/>
        <v>100</v>
      </c>
      <c r="AD122" s="322">
        <f t="shared" ref="AD122:AD123" si="35">SUM(AB122/J122)*100</f>
        <v>111.69974332814152</v>
      </c>
      <c r="AE122" s="272"/>
      <c r="AF122" s="304"/>
      <c r="AG122" s="478"/>
      <c r="AH122" s="486"/>
      <c r="AI122" s="486"/>
    </row>
    <row r="123" spans="1:35" s="163" customFormat="1" ht="93" customHeight="1" x14ac:dyDescent="0.25">
      <c r="A123" s="162"/>
      <c r="B123" s="165">
        <v>1</v>
      </c>
      <c r="C123" s="165">
        <v>20</v>
      </c>
      <c r="D123" s="166" t="s">
        <v>73</v>
      </c>
      <c r="E123" s="166" t="s">
        <v>147</v>
      </c>
      <c r="F123" s="167" t="s">
        <v>96</v>
      </c>
      <c r="G123" s="114" t="s">
        <v>289</v>
      </c>
      <c r="H123" s="521" t="s">
        <v>290</v>
      </c>
      <c r="I123" s="44">
        <v>20</v>
      </c>
      <c r="J123" s="34">
        <v>1519030572</v>
      </c>
      <c r="K123" s="363">
        <f>12+4</f>
        <v>16</v>
      </c>
      <c r="L123" s="32">
        <f>591243250+591560000</f>
        <v>1182803250</v>
      </c>
      <c r="M123" s="45">
        <v>1</v>
      </c>
      <c r="N123" s="34">
        <v>649500000</v>
      </c>
      <c r="O123" s="171"/>
      <c r="P123" s="497">
        <v>4950000</v>
      </c>
      <c r="Q123" s="171"/>
      <c r="R123" s="406"/>
      <c r="S123" s="173"/>
      <c r="T123" s="32"/>
      <c r="U123" s="45"/>
      <c r="V123" s="32"/>
      <c r="W123" s="153">
        <f t="shared" si="14"/>
        <v>0</v>
      </c>
      <c r="X123" s="153">
        <f t="shared" si="14"/>
        <v>4950000</v>
      </c>
      <c r="Y123" s="38">
        <f t="shared" si="32"/>
        <v>0</v>
      </c>
      <c r="Z123" s="168">
        <f>SUM(X123/N123)*100</f>
        <v>0.76212471131639725</v>
      </c>
      <c r="AA123" s="338">
        <f t="shared" si="33"/>
        <v>16</v>
      </c>
      <c r="AB123" s="58">
        <f>SUM(L123+X123)</f>
        <v>1187753250</v>
      </c>
      <c r="AC123" s="143">
        <f t="shared" si="34"/>
        <v>80</v>
      </c>
      <c r="AD123" s="159">
        <f t="shared" si="35"/>
        <v>78.191530301866763</v>
      </c>
      <c r="AE123" s="315" t="s">
        <v>281</v>
      </c>
      <c r="AF123" s="304"/>
      <c r="AG123" s="478"/>
      <c r="AH123" s="486"/>
      <c r="AI123" s="486"/>
    </row>
    <row r="124" spans="1:35" ht="13.5" x14ac:dyDescent="0.25">
      <c r="A124" s="26"/>
      <c r="B124" s="111"/>
      <c r="C124" s="111"/>
      <c r="D124" s="112"/>
      <c r="E124" s="112"/>
      <c r="F124" s="113"/>
      <c r="G124" s="114"/>
      <c r="H124" s="249"/>
      <c r="I124" s="109"/>
      <c r="J124" s="106"/>
      <c r="K124" s="365"/>
      <c r="L124" s="236"/>
      <c r="M124" s="332"/>
      <c r="N124" s="253"/>
      <c r="O124" s="265"/>
      <c r="P124" s="414"/>
      <c r="Q124" s="390"/>
      <c r="R124" s="386"/>
      <c r="S124" s="46"/>
      <c r="T124" s="36"/>
      <c r="U124" s="45"/>
      <c r="V124" s="36"/>
      <c r="W124" s="237"/>
      <c r="X124" s="236"/>
      <c r="Y124" s="110"/>
      <c r="Z124" s="95"/>
      <c r="AA124" s="45"/>
      <c r="AB124" s="61"/>
      <c r="AC124" s="110"/>
      <c r="AD124" s="39"/>
      <c r="AE124" s="272"/>
      <c r="AF124" s="98"/>
      <c r="AG124" s="472"/>
      <c r="AH124" s="484"/>
      <c r="AI124" s="484"/>
    </row>
    <row r="125" spans="1:35" ht="13.5" x14ac:dyDescent="0.25">
      <c r="A125" s="26"/>
      <c r="B125" s="111"/>
      <c r="C125" s="111"/>
      <c r="D125" s="112"/>
      <c r="E125" s="112"/>
      <c r="F125" s="113"/>
      <c r="G125" s="114"/>
      <c r="H125" s="249"/>
      <c r="I125" s="109"/>
      <c r="J125" s="106"/>
      <c r="K125" s="365"/>
      <c r="L125" s="236"/>
      <c r="M125" s="332"/>
      <c r="N125" s="253"/>
      <c r="O125" s="265"/>
      <c r="P125" s="414"/>
      <c r="Q125" s="390"/>
      <c r="R125" s="386"/>
      <c r="S125" s="46"/>
      <c r="T125" s="36"/>
      <c r="U125" s="45"/>
      <c r="V125" s="36"/>
      <c r="W125" s="237"/>
      <c r="X125" s="236"/>
      <c r="Y125" s="110"/>
      <c r="Z125" s="95"/>
      <c r="AA125" s="45"/>
      <c r="AB125" s="61"/>
      <c r="AC125" s="110"/>
      <c r="AD125" s="39"/>
      <c r="AE125" s="272"/>
      <c r="AF125" s="98"/>
      <c r="AG125" s="472"/>
      <c r="AH125" s="484"/>
      <c r="AI125" s="484"/>
    </row>
    <row r="126" spans="1:35" ht="13.5" x14ac:dyDescent="0.25">
      <c r="A126" s="546" t="s">
        <v>229</v>
      </c>
      <c r="B126" s="546"/>
      <c r="C126" s="546"/>
      <c r="D126" s="546"/>
      <c r="E126" s="546"/>
      <c r="F126" s="546"/>
      <c r="G126" s="546"/>
      <c r="H126" s="546"/>
      <c r="I126" s="546"/>
      <c r="J126" s="546"/>
      <c r="K126" s="546"/>
      <c r="L126" s="546"/>
      <c r="M126" s="546"/>
      <c r="N126" s="546"/>
      <c r="O126" s="546"/>
      <c r="P126" s="546"/>
      <c r="Q126" s="546"/>
      <c r="R126" s="546"/>
      <c r="S126" s="546"/>
      <c r="T126" s="546"/>
      <c r="U126" s="546"/>
      <c r="V126" s="546"/>
      <c r="W126" s="546"/>
      <c r="X126" s="546"/>
      <c r="Y126" s="115" t="e">
        <f>SUM(Y123,Y121,Y120,Y119,Y117,Y115,Y112,Y109:Y110,Y108,Y107,Y106,Y105,Y104,Y103,Y101,Y100,Y99,Y97,Y96,Y95,Y94,Y91,Y90,Y88,Y87,Y86,Y85,Y84,Y82,Y81,Y80,Y79,Y73,Y72,Y71,Y70,Y69,Y68,Y67,Y66,Y65,Y64,Y63,Y62,Y54,Y53,Y52,Y51,Y50,Y49,Y48,Y46,Y45,Y42,Y41,Y38,Y37,Y36,Y35,Y34,Y33,Y32,Y26,Y25,Y24,Y23,Y22,Y21,Y20,Y19,Y18,Y17,Y16,Y15)/75</f>
        <v>#DIV/0!</v>
      </c>
      <c r="Z126" s="115" t="e">
        <f>SUM(Z123,Z121,Z120,Z119,Z117,Z115,Z112,Z109:Z110,Z108,Z107,Z106,Z105,Z104,Z103,Z101,Z100,Z99,Z97,Z96,Z95,Z94,Z91,Z90,Z88,Z87,Z86,Z85,Z84,Z82,Z81,Z80,Z79,Z73,Z72,Z71,Z70,Z69,Z68,Z67,Z66,Z65,Z64,Z63,Z62,Z54,Z53,Z52,Z51,Z50,Z49,Z48,Z46,Z45,Z42,Z41,Z38,Z37,Z36,Z35,Z34,Z33,Z32,Z26,Z25,Z24,Z23,Z22,Z21,Z20,Z19,Z18,Z17,Z16,Z15)/75</f>
        <v>#DIV/0!</v>
      </c>
      <c r="AA126" s="116"/>
      <c r="AB126" s="117"/>
      <c r="AC126" s="115">
        <f>SUM(AC123,AC121,AC120,AC119,AC117,AC115,AC112,AC109:AC110,AC108,AC107,AC106,AC105,AC104,AC103,AC101,AC100,AC99,AC97,AC96,AC95,AC94,AC91,AC90,AC88,AC87,AC86,AC85,AC84,AC82,AC81,AC80,AC79,AC73,AC72,AC71,AC70,AC69,AC68,AC67,AC66,AC65,AC64,AC63,AC62,AC54,AC53,AC52,AC51,AC50,AC49,AC48,AC46,AC45,AC42,AC41,AC38,AC37,AC36,AC35,AC34,AC33,AC32,AC26,AC25,AC24,AC23,AC22,AC21,AC20,AC19,AC18,AC17,AC16,AC15)/75</f>
        <v>1032.6972029951444</v>
      </c>
      <c r="AD126" s="115">
        <f>SUM(AD123,AD121,AD120,AD119,AD117,AD115,AD112,AD109:AD110,AD108,AD107,AD106,AD105,AD104,AD103,AD101,AD100,AD99,AD97,AD96,AD95,AD94,AD91,AD90,AD88,AD87,AD86,AD85,AD84,AD82,AD81,AD80,AD79,AD73,AD72,AD71,AD70,AD69,AD68,AD67,AD66,AD65,AD64,AD63,AD62,AD54,AD53,AD52,AD51,AD50,AD49,AD48,AD46,AD45,AD42,AD41,AD38,AD37,AD36,AD35,AD34,AD33,AD32,AD26,AD25,AD24,AD23,AD22,AD21,AD20,AD19,AD18,AD17,AD16,AD15)/75</f>
        <v>51.586826237642633</v>
      </c>
      <c r="AE126" s="118"/>
      <c r="AF126" s="26"/>
      <c r="AG126" s="480"/>
      <c r="AH126" s="484"/>
      <c r="AI126" s="484"/>
    </row>
    <row r="127" spans="1:35" ht="13.5" x14ac:dyDescent="0.25">
      <c r="A127" s="546" t="s">
        <v>230</v>
      </c>
      <c r="B127" s="546"/>
      <c r="C127" s="546"/>
      <c r="D127" s="546"/>
      <c r="E127" s="546"/>
      <c r="F127" s="546"/>
      <c r="G127" s="546"/>
      <c r="H127" s="546"/>
      <c r="I127" s="546"/>
      <c r="J127" s="546"/>
      <c r="K127" s="546"/>
      <c r="L127" s="554"/>
      <c r="M127" s="554"/>
      <c r="N127" s="554"/>
      <c r="O127" s="554"/>
      <c r="P127" s="554"/>
      <c r="Q127" s="554"/>
      <c r="R127" s="554"/>
      <c r="S127" s="554"/>
      <c r="T127" s="554"/>
      <c r="U127" s="554"/>
      <c r="V127" s="554"/>
      <c r="W127" s="554"/>
      <c r="X127" s="554"/>
      <c r="Y127" s="119"/>
      <c r="Z127" s="120"/>
      <c r="AA127" s="121"/>
      <c r="AB127" s="122"/>
      <c r="AC127" s="123"/>
      <c r="AD127" s="36"/>
      <c r="AE127" s="118"/>
      <c r="AF127" s="26"/>
      <c r="AG127" s="480"/>
      <c r="AH127" s="484"/>
      <c r="AI127" s="484"/>
    </row>
    <row r="128" spans="1:35" ht="13.5" x14ac:dyDescent="0.25">
      <c r="A128" s="555" t="s">
        <v>231</v>
      </c>
      <c r="B128" s="556"/>
      <c r="C128" s="556"/>
      <c r="D128" s="556"/>
      <c r="E128" s="556"/>
      <c r="F128" s="556"/>
      <c r="G128" s="556"/>
      <c r="H128" s="556"/>
      <c r="I128" s="556"/>
      <c r="J128" s="254">
        <f>SUM(J122,J56,J47,J44,J40,J29,J14)</f>
        <v>171135107162.5</v>
      </c>
      <c r="K128" s="366"/>
      <c r="L128" s="254">
        <f>SUM(L122,L56,L47,L44,L40,L29,L14)</f>
        <v>59365626626</v>
      </c>
      <c r="M128" s="333"/>
      <c r="N128" s="254">
        <f>SUM(N122,N56,N47,N44,N40,N29,N14)</f>
        <v>20365332915</v>
      </c>
      <c r="O128" s="269"/>
      <c r="P128" s="254">
        <f>SUM(P122,P56,P47,P44,P40,P29,P14)</f>
        <v>1288860062</v>
      </c>
      <c r="Q128" s="415"/>
      <c r="R128" s="254">
        <f>SUM(R122,R56,R47,R44,R40,R29,R14)</f>
        <v>0</v>
      </c>
      <c r="S128" s="125"/>
      <c r="T128" s="124">
        <f>T14+T29+T40+T44+T47+T56</f>
        <v>0</v>
      </c>
      <c r="U128" s="125"/>
      <c r="V128" s="124">
        <f>V14+V29+V40+V44+V47+V56</f>
        <v>0</v>
      </c>
      <c r="W128" s="243"/>
      <c r="X128" s="254">
        <f>SUM(X122,X56,X47,X44,X40,X29,X14)</f>
        <v>1802810062</v>
      </c>
      <c r="Y128" s="126"/>
      <c r="Z128" s="126"/>
      <c r="AA128" s="127"/>
      <c r="AB128" s="254">
        <f>SUM(AB122,AB56,AB47,AB44,AB40,AB29,AB14)</f>
        <v>61168436688</v>
      </c>
      <c r="AC128" s="128"/>
      <c r="AD128" s="129"/>
      <c r="AE128" s="130"/>
      <c r="AF128" s="26"/>
      <c r="AG128" s="480"/>
      <c r="AH128" s="484"/>
      <c r="AI128" s="484"/>
    </row>
    <row r="129" spans="1:35" ht="13.5" x14ac:dyDescent="0.25">
      <c r="A129" s="131"/>
      <c r="B129" s="131"/>
      <c r="C129" s="131"/>
      <c r="D129" s="131"/>
      <c r="E129" s="131"/>
      <c r="F129" s="131"/>
      <c r="G129" s="131"/>
      <c r="H129" s="250"/>
      <c r="I129" s="131"/>
      <c r="J129" s="131"/>
      <c r="K129" s="367"/>
      <c r="L129" s="241"/>
      <c r="M129" s="334"/>
      <c r="N129" s="255"/>
      <c r="O129" s="270"/>
      <c r="P129" s="416"/>
      <c r="Q129" s="417"/>
      <c r="R129" s="418"/>
      <c r="S129" s="133"/>
      <c r="T129" s="132"/>
      <c r="U129" s="132"/>
      <c r="V129" s="132"/>
      <c r="W129" s="240"/>
      <c r="X129" s="244"/>
      <c r="Y129" s="134"/>
      <c r="Z129" s="135"/>
      <c r="AA129" s="136"/>
      <c r="AB129" s="135"/>
      <c r="AC129" s="134"/>
      <c r="AD129" s="132"/>
      <c r="AE129" s="131"/>
      <c r="AF129" s="26"/>
      <c r="AG129" s="480"/>
      <c r="AH129" s="484"/>
      <c r="AI129" s="484"/>
    </row>
    <row r="130" spans="1:35" ht="13.5" x14ac:dyDescent="0.25">
      <c r="A130" s="546" t="s">
        <v>232</v>
      </c>
      <c r="B130" s="546"/>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137">
        <f>(Y14+Y29+Y40+Y44+Y47+Y56+Y57+Y58+Y59+Y60+Y61+Y122)/12</f>
        <v>79.333504734500949</v>
      </c>
      <c r="Z130" s="137">
        <f>(Z14+Z29+Z40+Z44+Z47+Z56+Z122)/7</f>
        <v>14.295137655942979</v>
      </c>
      <c r="AA130" s="116"/>
      <c r="AB130" s="117"/>
      <c r="AC130" s="137">
        <f>(AC14+AC29+AC40+AC44+AC47+AC56+AC57+AC58+AC59+AC60+AC61+AC122)/12</f>
        <v>99.159892059161095</v>
      </c>
      <c r="AD130" s="137">
        <f>(AD14+AD29+AD40+AD44+AD47+AD56+AD122)/7</f>
        <v>44.758550802680972</v>
      </c>
      <c r="AE130" s="138"/>
      <c r="AF130" s="26"/>
      <c r="AG130" s="480"/>
      <c r="AH130" s="484"/>
      <c r="AI130" s="484"/>
    </row>
    <row r="131" spans="1:35" ht="13.5" x14ac:dyDescent="0.25">
      <c r="A131" s="546" t="s">
        <v>233</v>
      </c>
      <c r="B131" s="546"/>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139"/>
      <c r="Z131" s="140"/>
      <c r="AA131" s="116"/>
      <c r="AB131" s="117"/>
      <c r="AC131" s="141"/>
      <c r="AD131" s="142"/>
      <c r="AE131" s="138"/>
      <c r="AF131" s="26"/>
      <c r="AG131" s="480"/>
      <c r="AH131" s="484"/>
      <c r="AI131" s="484"/>
    </row>
    <row r="132" spans="1:35" ht="13.5" x14ac:dyDescent="0.25">
      <c r="A132" s="543" t="s">
        <v>234</v>
      </c>
      <c r="B132" s="543"/>
      <c r="C132" s="543"/>
      <c r="D132" s="543"/>
      <c r="E132" s="543"/>
      <c r="F132" s="543"/>
      <c r="G132" s="543"/>
      <c r="H132" s="543"/>
      <c r="I132" s="543"/>
      <c r="J132" s="543"/>
      <c r="K132" s="543"/>
      <c r="L132" s="543"/>
      <c r="M132" s="543"/>
      <c r="N132" s="543"/>
      <c r="O132" s="543"/>
      <c r="P132" s="543"/>
      <c r="Q132" s="543"/>
      <c r="R132" s="543"/>
      <c r="S132" s="543"/>
      <c r="T132" s="543"/>
      <c r="U132" s="543"/>
      <c r="V132" s="543"/>
      <c r="W132" s="543"/>
      <c r="X132" s="543"/>
      <c r="Y132" s="543"/>
      <c r="Z132" s="543"/>
      <c r="AA132" s="543"/>
      <c r="AB132" s="543"/>
      <c r="AC132" s="543"/>
      <c r="AD132" s="543"/>
      <c r="AE132" s="544"/>
      <c r="AF132" s="26"/>
      <c r="AG132" s="480"/>
      <c r="AH132" s="484"/>
      <c r="AI132" s="484"/>
    </row>
    <row r="133" spans="1:35" ht="13.5" x14ac:dyDescent="0.25">
      <c r="A133" s="543" t="s">
        <v>235</v>
      </c>
      <c r="B133" s="543"/>
      <c r="C133" s="543"/>
      <c r="D133" s="543"/>
      <c r="E133" s="543"/>
      <c r="F133" s="543"/>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4"/>
      <c r="AF133" s="26"/>
      <c r="AG133" s="480"/>
      <c r="AH133" s="484"/>
      <c r="AI133" s="484"/>
    </row>
    <row r="134" spans="1:35" ht="13.5" x14ac:dyDescent="0.25">
      <c r="A134" s="543" t="s">
        <v>236</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4"/>
      <c r="AF134" s="26"/>
      <c r="AG134" s="480"/>
      <c r="AH134" s="484"/>
      <c r="AI134" s="484"/>
    </row>
    <row r="135" spans="1:35" ht="13.5" x14ac:dyDescent="0.25">
      <c r="A135" s="543" t="s">
        <v>237</v>
      </c>
      <c r="B135" s="543"/>
      <c r="C135" s="543"/>
      <c r="D135" s="543"/>
      <c r="E135" s="543"/>
      <c r="F135" s="543"/>
      <c r="G135" s="543"/>
      <c r="H135" s="543"/>
      <c r="I135" s="543"/>
      <c r="J135" s="543"/>
      <c r="K135" s="543"/>
      <c r="L135" s="543"/>
      <c r="M135" s="543"/>
      <c r="N135" s="543"/>
      <c r="O135" s="543"/>
      <c r="P135" s="543"/>
      <c r="Q135" s="543"/>
      <c r="R135" s="543"/>
      <c r="S135" s="543"/>
      <c r="T135" s="543"/>
      <c r="U135" s="543"/>
      <c r="V135" s="543"/>
      <c r="W135" s="543"/>
      <c r="X135" s="543"/>
      <c r="Y135" s="543"/>
      <c r="Z135" s="543"/>
      <c r="AA135" s="543"/>
      <c r="AB135" s="543"/>
      <c r="AC135" s="543"/>
      <c r="AD135" s="543"/>
      <c r="AE135" s="544"/>
      <c r="AF135" s="26"/>
      <c r="AG135" s="480"/>
      <c r="AH135" s="484"/>
      <c r="AI135" s="484"/>
    </row>
    <row r="136" spans="1:35" ht="18.75" customHeight="1" x14ac:dyDescent="0.15">
      <c r="K136" s="341"/>
      <c r="L136" s="9"/>
      <c r="M136" s="8"/>
      <c r="N136" s="324"/>
      <c r="O136" s="325"/>
      <c r="P136" s="419"/>
      <c r="Q136" s="325"/>
      <c r="R136" s="419"/>
      <c r="S136" s="326"/>
      <c r="T136" s="324"/>
      <c r="U136" s="324"/>
      <c r="V136" s="324"/>
      <c r="W136" s="8"/>
      <c r="X136" s="12"/>
      <c r="Z136" s="6"/>
      <c r="AB136" s="6"/>
    </row>
    <row r="137" spans="1:35" ht="15" x14ac:dyDescent="0.25">
      <c r="K137" s="341"/>
      <c r="L137" s="9"/>
      <c r="M137" s="8"/>
      <c r="N137" s="12"/>
      <c r="O137" s="273"/>
      <c r="P137" s="395"/>
      <c r="Q137" s="273"/>
      <c r="R137" s="395"/>
      <c r="S137" s="326"/>
      <c r="T137" s="324"/>
      <c r="U137" s="324"/>
      <c r="V137" s="324"/>
      <c r="W137" s="8"/>
      <c r="X137" s="12"/>
      <c r="Y137" s="537" t="s">
        <v>238</v>
      </c>
      <c r="Z137" s="537"/>
      <c r="AA137" s="537"/>
      <c r="AB137" s="537"/>
      <c r="AC137" s="537"/>
      <c r="AD137" s="537"/>
      <c r="AE137" s="324"/>
    </row>
    <row r="138" spans="1:35" ht="15" x14ac:dyDescent="0.25">
      <c r="K138" s="341"/>
      <c r="L138" s="9"/>
      <c r="M138" s="8"/>
      <c r="N138" s="12"/>
      <c r="O138" s="273"/>
      <c r="P138" s="395"/>
      <c r="Q138" s="273"/>
      <c r="R138" s="395"/>
      <c r="S138" s="326"/>
      <c r="T138" s="324"/>
      <c r="U138" s="324"/>
      <c r="V138" s="324"/>
      <c r="W138" s="8"/>
      <c r="X138" s="12"/>
      <c r="Y138" s="545" t="s">
        <v>377</v>
      </c>
      <c r="Z138" s="545"/>
      <c r="AA138" s="545"/>
      <c r="AB138" s="545"/>
      <c r="AC138" s="545"/>
      <c r="AD138" s="545"/>
      <c r="AE138" s="545"/>
    </row>
    <row r="139" spans="1:35" ht="15" x14ac:dyDescent="0.25">
      <c r="K139" s="341"/>
      <c r="L139" s="9"/>
      <c r="M139" s="8"/>
      <c r="N139" s="12"/>
      <c r="O139" s="273"/>
      <c r="P139" s="395"/>
      <c r="Q139" s="273"/>
      <c r="R139" s="395"/>
      <c r="S139" s="326"/>
      <c r="T139" s="324"/>
      <c r="U139" s="324"/>
      <c r="V139" s="324"/>
      <c r="W139" s="8"/>
      <c r="X139" s="12"/>
      <c r="Y139" s="537" t="s">
        <v>291</v>
      </c>
      <c r="Z139" s="537"/>
      <c r="AA139" s="537"/>
      <c r="AB139" s="537"/>
      <c r="AC139" s="537"/>
      <c r="AD139" s="537"/>
      <c r="AE139" s="537"/>
    </row>
    <row r="140" spans="1:35" ht="15" x14ac:dyDescent="0.25">
      <c r="K140" s="341"/>
      <c r="L140" s="9"/>
      <c r="M140" s="8"/>
      <c r="N140" s="12"/>
      <c r="O140" s="273"/>
      <c r="P140" s="395"/>
      <c r="Q140" s="273"/>
      <c r="R140" s="395"/>
      <c r="S140" s="326"/>
      <c r="T140" s="324"/>
      <c r="U140" s="324"/>
      <c r="V140" s="324"/>
      <c r="W140" s="8"/>
      <c r="X140" s="12"/>
      <c r="Y140" s="538"/>
      <c r="Z140" s="538"/>
      <c r="AA140" s="538"/>
      <c r="AB140" s="538"/>
      <c r="AC140" s="538"/>
      <c r="AD140" s="538"/>
      <c r="AE140" s="538"/>
    </row>
    <row r="141" spans="1:35" ht="15" x14ac:dyDescent="0.25">
      <c r="K141" s="341"/>
      <c r="L141" s="9"/>
      <c r="M141" s="8"/>
      <c r="N141" s="12"/>
      <c r="O141" s="273"/>
      <c r="P141" s="395"/>
      <c r="Q141" s="273"/>
      <c r="R141" s="395"/>
      <c r="S141" s="326"/>
      <c r="T141" s="324"/>
      <c r="U141" s="324"/>
      <c r="V141" s="324"/>
      <c r="W141" s="8"/>
      <c r="X141" s="12"/>
      <c r="Y141" s="522"/>
      <c r="Z141" s="522"/>
      <c r="AA141" s="522"/>
      <c r="AB141" s="522"/>
      <c r="AC141" s="522"/>
      <c r="AD141" s="522"/>
      <c r="AE141" s="522"/>
    </row>
    <row r="142" spans="1:35" ht="15" x14ac:dyDescent="0.25">
      <c r="K142" s="341"/>
      <c r="L142" s="9"/>
      <c r="M142" s="8"/>
      <c r="N142" s="12"/>
      <c r="O142" s="273"/>
      <c r="P142" s="395"/>
      <c r="Q142" s="273"/>
      <c r="R142" s="395"/>
      <c r="S142" s="326"/>
      <c r="T142" s="324"/>
      <c r="U142" s="324"/>
      <c r="V142" s="324"/>
      <c r="W142" s="8"/>
      <c r="X142" s="12"/>
      <c r="Y142" s="522"/>
      <c r="Z142" s="522"/>
      <c r="AA142" s="522"/>
      <c r="AB142" s="522"/>
      <c r="AC142" s="522"/>
      <c r="AD142" s="522"/>
      <c r="AE142" s="522"/>
    </row>
    <row r="143" spans="1:35" ht="15" x14ac:dyDescent="0.25">
      <c r="K143" s="341"/>
      <c r="L143" s="9"/>
      <c r="M143" s="8"/>
      <c r="N143" s="12"/>
      <c r="O143" s="273"/>
      <c r="P143" s="395"/>
      <c r="Q143" s="273"/>
      <c r="R143" s="395"/>
      <c r="S143" s="326"/>
      <c r="T143" s="324"/>
      <c r="U143" s="324"/>
      <c r="V143" s="324"/>
      <c r="W143" s="8"/>
      <c r="X143" s="12"/>
      <c r="Y143" s="522"/>
      <c r="Z143" s="522"/>
      <c r="AA143" s="522"/>
      <c r="AB143" s="327"/>
      <c r="AC143" s="522"/>
      <c r="AD143" s="522"/>
      <c r="AE143" s="522"/>
    </row>
    <row r="144" spans="1:35" ht="15" x14ac:dyDescent="0.25">
      <c r="K144" s="341"/>
      <c r="L144" s="9"/>
      <c r="M144" s="8"/>
      <c r="N144" s="12"/>
      <c r="O144" s="273"/>
      <c r="P144" s="395"/>
      <c r="Q144" s="273"/>
      <c r="R144" s="395"/>
      <c r="S144" s="326"/>
      <c r="T144" s="324"/>
      <c r="U144" s="324"/>
      <c r="V144" s="324"/>
      <c r="W144" s="8"/>
      <c r="X144" s="12"/>
      <c r="Y144" s="522"/>
      <c r="Z144" s="522"/>
      <c r="AA144" s="522"/>
      <c r="AB144" s="327"/>
      <c r="AC144" s="522"/>
      <c r="AD144" s="522"/>
      <c r="AE144" s="522"/>
    </row>
    <row r="145" spans="11:31" ht="15.75" customHeight="1" x14ac:dyDescent="0.3">
      <c r="K145" s="341"/>
      <c r="L145" s="9"/>
      <c r="M145" s="8"/>
      <c r="N145" s="12"/>
      <c r="O145" s="273"/>
      <c r="P145" s="395"/>
      <c r="Q145" s="273"/>
      <c r="R145" s="395"/>
      <c r="S145" s="326"/>
      <c r="T145" s="324"/>
      <c r="U145" s="324"/>
      <c r="V145" s="324"/>
      <c r="W145" s="8"/>
      <c r="X145" s="12"/>
      <c r="Y145" s="539" t="s">
        <v>239</v>
      </c>
      <c r="Z145" s="539"/>
      <c r="AA145" s="539"/>
      <c r="AB145" s="539"/>
      <c r="AC145" s="539"/>
      <c r="AD145" s="539"/>
      <c r="AE145" s="539"/>
    </row>
    <row r="146" spans="11:31" ht="15" x14ac:dyDescent="0.3">
      <c r="K146" s="341"/>
      <c r="L146" s="9"/>
      <c r="M146" s="8"/>
      <c r="N146" s="12"/>
      <c r="O146" s="273"/>
      <c r="P146" s="395"/>
      <c r="Q146" s="273"/>
      <c r="R146" s="395"/>
      <c r="S146" s="328"/>
      <c r="T146" s="12"/>
      <c r="U146" s="12"/>
      <c r="V146" s="12"/>
      <c r="W146" s="8"/>
      <c r="X146" s="12"/>
      <c r="Y146" s="542" t="s">
        <v>240</v>
      </c>
      <c r="Z146" s="542"/>
      <c r="AA146" s="542"/>
      <c r="AB146" s="542"/>
      <c r="AC146" s="542"/>
      <c r="AD146" s="542"/>
      <c r="AE146" s="542"/>
    </row>
    <row r="147" spans="11:31" x14ac:dyDescent="0.15">
      <c r="K147" s="341"/>
      <c r="L147" s="9"/>
      <c r="M147" s="8"/>
      <c r="N147" s="12"/>
      <c r="O147" s="273"/>
      <c r="P147" s="395"/>
      <c r="Q147" s="273"/>
      <c r="R147" s="395"/>
      <c r="S147" s="328"/>
      <c r="T147" s="12"/>
      <c r="U147" s="12"/>
      <c r="V147" s="12"/>
      <c r="W147" s="8"/>
      <c r="X147" s="12"/>
    </row>
    <row r="148" spans="11:31" x14ac:dyDescent="0.15">
      <c r="K148" s="341"/>
      <c r="L148" s="9"/>
      <c r="M148" s="8"/>
      <c r="N148" s="12"/>
      <c r="O148" s="273"/>
      <c r="P148" s="395"/>
      <c r="Q148" s="273"/>
      <c r="R148" s="395"/>
      <c r="S148" s="328"/>
      <c r="T148" s="12"/>
      <c r="U148" s="12"/>
      <c r="V148" s="12"/>
      <c r="W148" s="8"/>
      <c r="X148" s="12"/>
    </row>
    <row r="149" spans="11:31" x14ac:dyDescent="0.15">
      <c r="K149" s="341"/>
      <c r="L149" s="9"/>
      <c r="M149" s="8"/>
      <c r="N149" s="12"/>
      <c r="O149" s="273"/>
      <c r="P149" s="395"/>
      <c r="Q149" s="273"/>
      <c r="R149" s="395"/>
      <c r="S149" s="328"/>
      <c r="T149" s="12"/>
      <c r="U149" s="12"/>
      <c r="V149" s="12"/>
      <c r="W149" s="8"/>
      <c r="X149" s="12"/>
    </row>
    <row r="150" spans="11:31" x14ac:dyDescent="0.15">
      <c r="K150" s="341"/>
      <c r="L150" s="9"/>
      <c r="M150" s="8"/>
      <c r="N150" s="12"/>
      <c r="O150" s="273"/>
      <c r="P150" s="395"/>
      <c r="Q150" s="273"/>
      <c r="R150" s="395"/>
      <c r="S150" s="328"/>
      <c r="T150" s="12"/>
      <c r="U150" s="12"/>
      <c r="V150" s="12"/>
      <c r="W150" s="8"/>
      <c r="X150" s="12"/>
    </row>
    <row r="151" spans="11:31" x14ac:dyDescent="0.15">
      <c r="K151" s="341"/>
      <c r="L151" s="9"/>
      <c r="M151" s="8"/>
      <c r="N151" s="12"/>
      <c r="O151" s="273"/>
      <c r="P151" s="395"/>
      <c r="Q151" s="273"/>
      <c r="R151" s="395"/>
      <c r="S151" s="328"/>
      <c r="T151" s="12"/>
      <c r="U151" s="12"/>
      <c r="V151" s="12"/>
      <c r="W151" s="8"/>
      <c r="X151" s="12"/>
    </row>
    <row r="152" spans="11:31" x14ac:dyDescent="0.15">
      <c r="K152" s="341"/>
      <c r="L152" s="9"/>
      <c r="M152" s="8"/>
      <c r="N152" s="12"/>
      <c r="O152" s="273"/>
      <c r="P152" s="395"/>
      <c r="Q152" s="273"/>
      <c r="R152" s="395"/>
      <c r="S152" s="328"/>
      <c r="T152" s="12"/>
      <c r="U152" s="12"/>
      <c r="V152" s="12"/>
      <c r="W152" s="8"/>
      <c r="X152" s="12"/>
    </row>
    <row r="153" spans="11:31" x14ac:dyDescent="0.15">
      <c r="K153" s="341"/>
      <c r="L153" s="9"/>
      <c r="M153" s="8"/>
      <c r="N153" s="12"/>
      <c r="O153" s="273"/>
      <c r="P153" s="395"/>
      <c r="Q153" s="273"/>
      <c r="R153" s="395"/>
      <c r="S153" s="328"/>
      <c r="T153" s="12"/>
      <c r="U153" s="12"/>
      <c r="V153" s="12"/>
      <c r="W153" s="8"/>
      <c r="X153" s="12"/>
    </row>
    <row r="154" spans="11:31" x14ac:dyDescent="0.15">
      <c r="K154" s="341"/>
      <c r="L154" s="9"/>
      <c r="M154" s="8"/>
      <c r="N154" s="12"/>
      <c r="O154" s="273"/>
      <c r="P154" s="395"/>
      <c r="Q154" s="273"/>
      <c r="R154" s="395"/>
      <c r="S154" s="328"/>
      <c r="T154" s="12"/>
      <c r="U154" s="12"/>
      <c r="V154" s="12"/>
      <c r="W154" s="8"/>
      <c r="X154" s="12"/>
    </row>
    <row r="155" spans="11:31" x14ac:dyDescent="0.15">
      <c r="K155" s="341"/>
      <c r="L155" s="9"/>
      <c r="M155" s="8"/>
      <c r="N155" s="12"/>
      <c r="O155" s="273"/>
      <c r="P155" s="395"/>
      <c r="Q155" s="273"/>
      <c r="R155" s="395"/>
      <c r="S155" s="328"/>
      <c r="T155" s="12"/>
      <c r="U155" s="12"/>
      <c r="V155" s="12"/>
      <c r="W155" s="8"/>
      <c r="X155" s="12"/>
    </row>
    <row r="156" spans="11:31" x14ac:dyDescent="0.15">
      <c r="K156" s="341"/>
      <c r="L156" s="9"/>
      <c r="M156" s="8"/>
      <c r="N156" s="12"/>
      <c r="O156" s="273"/>
      <c r="P156" s="395"/>
      <c r="Q156" s="273"/>
      <c r="R156" s="395"/>
      <c r="S156" s="328"/>
      <c r="T156" s="12"/>
      <c r="U156" s="12"/>
      <c r="V156" s="12"/>
      <c r="W156" s="8"/>
      <c r="X156" s="12"/>
    </row>
    <row r="157" spans="11:31" x14ac:dyDescent="0.15">
      <c r="K157" s="341"/>
      <c r="L157" s="9"/>
      <c r="M157" s="8"/>
      <c r="N157" s="12"/>
      <c r="O157" s="273"/>
      <c r="P157" s="395"/>
      <c r="Q157" s="273"/>
      <c r="R157" s="395"/>
      <c r="S157" s="328"/>
      <c r="T157" s="12"/>
      <c r="U157" s="12"/>
      <c r="V157" s="12"/>
      <c r="W157" s="8"/>
      <c r="X157" s="12"/>
    </row>
    <row r="158" spans="11:31" x14ac:dyDescent="0.15">
      <c r="K158" s="341"/>
      <c r="L158" s="9"/>
      <c r="M158" s="8"/>
      <c r="N158" s="12"/>
      <c r="O158" s="273"/>
      <c r="P158" s="395"/>
      <c r="Q158" s="273"/>
      <c r="R158" s="395"/>
      <c r="S158" s="328"/>
      <c r="T158" s="12"/>
      <c r="U158" s="12"/>
      <c r="V158" s="12"/>
      <c r="W158" s="8"/>
      <c r="X158" s="12"/>
    </row>
    <row r="159" spans="11:31" x14ac:dyDescent="0.15">
      <c r="K159" s="341"/>
      <c r="L159" s="9"/>
      <c r="M159" s="8"/>
      <c r="N159" s="12"/>
      <c r="O159" s="273"/>
      <c r="P159" s="395"/>
      <c r="Q159" s="273"/>
      <c r="R159" s="395"/>
      <c r="S159" s="328"/>
      <c r="T159" s="12"/>
      <c r="U159" s="12"/>
      <c r="V159" s="12"/>
      <c r="W159" s="8"/>
      <c r="X159" s="12"/>
    </row>
    <row r="160" spans="11:31" x14ac:dyDescent="0.15">
      <c r="K160" s="341"/>
      <c r="L160" s="9"/>
      <c r="M160" s="8"/>
      <c r="N160" s="12"/>
      <c r="O160" s="273"/>
      <c r="P160" s="395"/>
      <c r="Q160" s="273"/>
      <c r="R160" s="395"/>
      <c r="S160" s="328"/>
      <c r="T160" s="12"/>
      <c r="U160" s="12"/>
      <c r="V160" s="12"/>
      <c r="W160" s="8"/>
      <c r="X160" s="12"/>
    </row>
    <row r="161" spans="11:24" x14ac:dyDescent="0.15">
      <c r="K161" s="341"/>
      <c r="L161" s="9"/>
      <c r="M161" s="8"/>
      <c r="N161" s="12"/>
      <c r="O161" s="273"/>
      <c r="P161" s="395"/>
      <c r="Q161" s="273"/>
      <c r="R161" s="395"/>
      <c r="S161" s="328"/>
      <c r="T161" s="12"/>
      <c r="U161" s="12"/>
      <c r="V161" s="12"/>
      <c r="W161" s="8"/>
      <c r="X161" s="12"/>
    </row>
    <row r="162" spans="11:24" x14ac:dyDescent="0.15">
      <c r="K162" s="341"/>
      <c r="L162" s="9"/>
      <c r="M162" s="8"/>
      <c r="N162" s="12"/>
      <c r="O162" s="273"/>
      <c r="P162" s="395"/>
      <c r="Q162" s="273"/>
      <c r="R162" s="395"/>
      <c r="S162" s="328"/>
      <c r="T162" s="12"/>
      <c r="U162" s="12"/>
      <c r="V162" s="12"/>
      <c r="W162" s="8"/>
      <c r="X162" s="12"/>
    </row>
    <row r="163" spans="11:24" x14ac:dyDescent="0.15">
      <c r="K163" s="341"/>
      <c r="L163" s="9"/>
      <c r="M163" s="8"/>
      <c r="N163" s="12"/>
      <c r="O163" s="273"/>
      <c r="P163" s="395"/>
      <c r="Q163" s="273"/>
      <c r="R163" s="395"/>
      <c r="S163" s="328"/>
      <c r="T163" s="12"/>
      <c r="U163" s="12"/>
      <c r="V163" s="12"/>
      <c r="W163" s="8"/>
      <c r="X163" s="12"/>
    </row>
    <row r="164" spans="11:24" x14ac:dyDescent="0.15">
      <c r="K164" s="341"/>
      <c r="L164" s="9"/>
      <c r="M164" s="8"/>
      <c r="N164" s="12"/>
      <c r="O164" s="273"/>
      <c r="P164" s="395"/>
      <c r="Q164" s="273"/>
      <c r="R164" s="395"/>
      <c r="S164" s="328"/>
      <c r="T164" s="12"/>
      <c r="U164" s="12"/>
      <c r="V164" s="12"/>
      <c r="W164" s="8"/>
      <c r="X164" s="12"/>
    </row>
    <row r="165" spans="11:24" x14ac:dyDescent="0.15">
      <c r="K165" s="341"/>
      <c r="L165" s="9"/>
      <c r="M165" s="8"/>
      <c r="N165" s="12"/>
      <c r="O165" s="273"/>
      <c r="P165" s="395"/>
      <c r="Q165" s="273"/>
      <c r="R165" s="395"/>
      <c r="S165" s="328"/>
      <c r="T165" s="12"/>
      <c r="U165" s="12"/>
      <c r="V165" s="12"/>
      <c r="W165" s="8"/>
      <c r="X165" s="12"/>
    </row>
    <row r="166" spans="11:24" x14ac:dyDescent="0.15">
      <c r="K166" s="341"/>
      <c r="L166" s="9"/>
      <c r="M166" s="8"/>
      <c r="N166" s="12"/>
      <c r="O166" s="273"/>
      <c r="P166" s="395"/>
      <c r="Q166" s="273"/>
      <c r="R166" s="395"/>
      <c r="S166" s="328"/>
      <c r="T166" s="12"/>
      <c r="U166" s="12"/>
      <c r="V166" s="12"/>
      <c r="W166" s="8"/>
      <c r="X166" s="12"/>
    </row>
    <row r="167" spans="11:24" x14ac:dyDescent="0.15">
      <c r="K167" s="341"/>
      <c r="L167" s="9"/>
      <c r="M167" s="8"/>
      <c r="N167" s="12"/>
      <c r="O167" s="273"/>
      <c r="P167" s="395"/>
      <c r="Q167" s="273"/>
      <c r="R167" s="395"/>
      <c r="S167" s="328"/>
      <c r="T167" s="12"/>
      <c r="U167" s="12"/>
      <c r="V167" s="12"/>
      <c r="W167" s="8"/>
      <c r="X167" s="12"/>
    </row>
    <row r="168" spans="11:24" x14ac:dyDescent="0.15">
      <c r="K168" s="341"/>
      <c r="L168" s="9"/>
      <c r="M168" s="8"/>
      <c r="N168" s="12"/>
      <c r="O168" s="273"/>
      <c r="P168" s="395"/>
      <c r="Q168" s="273"/>
      <c r="R168" s="395"/>
      <c r="S168" s="328"/>
      <c r="T168" s="12"/>
      <c r="U168" s="12"/>
      <c r="V168" s="12"/>
      <c r="W168" s="8"/>
      <c r="X168" s="12"/>
    </row>
    <row r="169" spans="11:24" x14ac:dyDescent="0.15">
      <c r="K169" s="341"/>
      <c r="L169" s="9"/>
      <c r="M169" s="8"/>
      <c r="N169" s="12"/>
      <c r="O169" s="273"/>
      <c r="P169" s="395"/>
      <c r="Q169" s="273"/>
      <c r="R169" s="395"/>
      <c r="S169" s="328"/>
      <c r="T169" s="12"/>
      <c r="U169" s="12"/>
      <c r="V169" s="12"/>
      <c r="W169" s="8"/>
      <c r="X169" s="12"/>
    </row>
    <row r="170" spans="11:24" x14ac:dyDescent="0.15">
      <c r="K170" s="341"/>
      <c r="L170" s="9"/>
      <c r="M170" s="8"/>
      <c r="N170" s="12"/>
      <c r="O170" s="273"/>
      <c r="P170" s="395"/>
      <c r="Q170" s="273"/>
      <c r="R170" s="395"/>
      <c r="S170" s="328"/>
      <c r="T170" s="12"/>
      <c r="U170" s="12"/>
      <c r="V170" s="12"/>
      <c r="W170" s="8"/>
      <c r="X170" s="12"/>
    </row>
    <row r="171" spans="11:24" x14ac:dyDescent="0.15">
      <c r="K171" s="341"/>
      <c r="L171" s="9"/>
      <c r="M171" s="8"/>
      <c r="N171" s="12"/>
      <c r="O171" s="273"/>
      <c r="P171" s="395"/>
      <c r="Q171" s="273"/>
      <c r="R171" s="395"/>
      <c r="S171" s="328"/>
      <c r="T171" s="12"/>
      <c r="U171" s="12"/>
      <c r="V171" s="12"/>
      <c r="W171" s="8"/>
      <c r="X171" s="12"/>
    </row>
    <row r="172" spans="11:24" x14ac:dyDescent="0.15">
      <c r="K172" s="341"/>
      <c r="L172" s="9"/>
      <c r="M172" s="8"/>
      <c r="N172" s="12"/>
      <c r="O172" s="273"/>
      <c r="P172" s="395"/>
      <c r="Q172" s="273"/>
      <c r="R172" s="395"/>
      <c r="S172" s="328"/>
      <c r="T172" s="12"/>
      <c r="U172" s="12"/>
      <c r="V172" s="12"/>
      <c r="W172" s="8"/>
      <c r="X172" s="12"/>
    </row>
    <row r="173" spans="11:24" x14ac:dyDescent="0.15">
      <c r="K173" s="341"/>
      <c r="L173" s="9"/>
      <c r="M173" s="8"/>
      <c r="N173" s="12"/>
      <c r="O173" s="273"/>
      <c r="P173" s="395"/>
      <c r="Q173" s="273"/>
      <c r="R173" s="395"/>
      <c r="S173" s="328"/>
      <c r="T173" s="12"/>
      <c r="U173" s="12"/>
      <c r="V173" s="12"/>
      <c r="W173" s="8"/>
      <c r="X173" s="12"/>
    </row>
    <row r="174" spans="11:24" x14ac:dyDescent="0.15">
      <c r="M174" s="8"/>
      <c r="N174" s="12"/>
      <c r="O174" s="273"/>
      <c r="P174" s="395"/>
      <c r="Q174" s="273"/>
      <c r="R174" s="395"/>
    </row>
    <row r="175" spans="11:24" x14ac:dyDescent="0.15">
      <c r="M175" s="8"/>
      <c r="N175" s="12"/>
      <c r="O175" s="273"/>
      <c r="P175" s="395"/>
      <c r="Q175" s="273"/>
      <c r="R175" s="395"/>
    </row>
    <row r="176" spans="11:24" x14ac:dyDescent="0.15">
      <c r="M176" s="8"/>
      <c r="N176" s="12"/>
      <c r="O176" s="273"/>
      <c r="P176" s="395"/>
      <c r="Q176" s="273"/>
      <c r="R176" s="395"/>
    </row>
    <row r="177" spans="13:18" x14ac:dyDescent="0.15">
      <c r="M177" s="8"/>
      <c r="N177" s="12"/>
      <c r="O177" s="273"/>
      <c r="P177" s="395"/>
      <c r="Q177" s="273"/>
      <c r="R177" s="395"/>
    </row>
    <row r="178" spans="13:18" x14ac:dyDescent="0.15">
      <c r="M178" s="8"/>
      <c r="N178" s="12"/>
      <c r="O178" s="273"/>
      <c r="P178" s="395"/>
      <c r="Q178" s="273"/>
      <c r="R178" s="395"/>
    </row>
    <row r="179" spans="13:18" x14ac:dyDescent="0.15">
      <c r="M179" s="8"/>
      <c r="N179" s="12"/>
      <c r="O179" s="273"/>
      <c r="P179" s="395"/>
      <c r="Q179" s="273"/>
      <c r="R179" s="395"/>
    </row>
    <row r="180" spans="13:18" x14ac:dyDescent="0.15">
      <c r="M180" s="8"/>
      <c r="N180" s="12"/>
      <c r="O180" s="273"/>
      <c r="P180" s="395"/>
      <c r="Q180" s="273"/>
      <c r="R180" s="395"/>
    </row>
    <row r="181" spans="13:18" x14ac:dyDescent="0.15">
      <c r="M181" s="8"/>
      <c r="N181" s="12"/>
      <c r="O181" s="273"/>
      <c r="P181" s="395"/>
      <c r="Q181" s="273"/>
      <c r="R181" s="395"/>
    </row>
    <row r="182" spans="13:18" x14ac:dyDescent="0.15">
      <c r="M182" s="8"/>
      <c r="N182" s="12"/>
      <c r="O182" s="273"/>
      <c r="P182" s="395"/>
      <c r="Q182" s="273"/>
      <c r="R182" s="395"/>
    </row>
    <row r="183" spans="13:18" x14ac:dyDescent="0.15">
      <c r="M183" s="8"/>
      <c r="N183" s="12"/>
      <c r="O183" s="273"/>
      <c r="P183" s="395"/>
      <c r="Q183" s="273"/>
      <c r="R183" s="395"/>
    </row>
    <row r="184" spans="13:18" x14ac:dyDescent="0.15">
      <c r="M184" s="8"/>
      <c r="N184" s="12"/>
      <c r="O184" s="273"/>
      <c r="P184" s="395"/>
      <c r="Q184" s="273"/>
      <c r="R184" s="395"/>
    </row>
    <row r="185" spans="13:18" x14ac:dyDescent="0.15">
      <c r="M185" s="8"/>
      <c r="N185" s="12"/>
      <c r="O185" s="273"/>
      <c r="P185" s="395"/>
      <c r="Q185" s="273"/>
      <c r="R185" s="395"/>
    </row>
    <row r="186" spans="13:18" x14ac:dyDescent="0.15">
      <c r="M186" s="8"/>
      <c r="N186" s="12"/>
      <c r="O186" s="273"/>
      <c r="P186" s="395"/>
      <c r="Q186" s="273"/>
      <c r="R186" s="395"/>
    </row>
    <row r="187" spans="13:18" x14ac:dyDescent="0.15">
      <c r="M187" s="8"/>
      <c r="N187" s="12"/>
      <c r="O187" s="273"/>
      <c r="P187" s="395"/>
      <c r="Q187" s="273"/>
      <c r="R187" s="395"/>
    </row>
    <row r="188" spans="13:18" x14ac:dyDescent="0.15">
      <c r="M188" s="8"/>
      <c r="N188" s="12"/>
      <c r="O188" s="273"/>
      <c r="P188" s="395"/>
      <c r="Q188" s="273"/>
      <c r="R188" s="395"/>
    </row>
    <row r="189" spans="13:18" x14ac:dyDescent="0.15">
      <c r="M189" s="8"/>
      <c r="N189" s="12"/>
      <c r="O189" s="273"/>
      <c r="P189" s="395"/>
      <c r="Q189" s="273"/>
      <c r="R189" s="395"/>
    </row>
    <row r="190" spans="13:18" x14ac:dyDescent="0.15">
      <c r="M190" s="8"/>
      <c r="N190" s="12"/>
      <c r="O190" s="273"/>
      <c r="P190" s="395"/>
      <c r="Q190" s="273"/>
      <c r="R190" s="395"/>
    </row>
    <row r="191" spans="13:18" x14ac:dyDescent="0.15">
      <c r="M191" s="8"/>
      <c r="N191" s="12"/>
      <c r="O191" s="273"/>
      <c r="P191" s="395"/>
      <c r="Q191" s="273"/>
      <c r="R191" s="395"/>
    </row>
    <row r="192" spans="13:18" x14ac:dyDescent="0.15">
      <c r="M192" s="8"/>
      <c r="N192" s="12"/>
      <c r="O192" s="273"/>
      <c r="P192" s="395"/>
      <c r="Q192" s="273"/>
      <c r="R192" s="395"/>
    </row>
    <row r="193" spans="13:18" x14ac:dyDescent="0.15">
      <c r="M193" s="8"/>
      <c r="N193" s="12"/>
      <c r="O193" s="273"/>
      <c r="P193" s="395"/>
      <c r="Q193" s="273"/>
      <c r="R193" s="395"/>
    </row>
    <row r="194" spans="13:18" x14ac:dyDescent="0.15">
      <c r="M194" s="8"/>
      <c r="N194" s="12"/>
      <c r="O194" s="273"/>
      <c r="P194" s="395"/>
      <c r="Q194" s="273"/>
      <c r="R194" s="395"/>
    </row>
    <row r="195" spans="13:18" x14ac:dyDescent="0.15">
      <c r="M195" s="8"/>
      <c r="N195" s="12"/>
      <c r="O195" s="273"/>
      <c r="P195" s="395"/>
      <c r="Q195" s="273"/>
      <c r="R195" s="395"/>
    </row>
    <row r="196" spans="13:18" x14ac:dyDescent="0.15">
      <c r="M196" s="8"/>
      <c r="N196" s="12"/>
      <c r="O196" s="273"/>
      <c r="P196" s="395"/>
      <c r="Q196" s="273"/>
      <c r="R196" s="395"/>
    </row>
    <row r="197" spans="13:18" x14ac:dyDescent="0.15">
      <c r="M197" s="8"/>
      <c r="N197" s="12"/>
      <c r="O197" s="273"/>
      <c r="P197" s="395"/>
      <c r="Q197" s="273"/>
      <c r="R197" s="395"/>
    </row>
    <row r="198" spans="13:18" x14ac:dyDescent="0.15">
      <c r="M198" s="8"/>
      <c r="N198" s="12"/>
      <c r="O198" s="273"/>
      <c r="P198" s="395"/>
      <c r="Q198" s="273"/>
      <c r="R198" s="395"/>
    </row>
    <row r="199" spans="13:18" x14ac:dyDescent="0.15">
      <c r="M199" s="8"/>
      <c r="N199" s="12"/>
      <c r="O199" s="273"/>
      <c r="P199" s="395"/>
      <c r="Q199" s="273"/>
      <c r="R199" s="395"/>
    </row>
    <row r="200" spans="13:18" x14ac:dyDescent="0.15">
      <c r="M200" s="8"/>
      <c r="N200" s="12"/>
      <c r="O200" s="273"/>
      <c r="P200" s="395"/>
      <c r="Q200" s="273"/>
      <c r="R200" s="395"/>
    </row>
    <row r="201" spans="13:18" x14ac:dyDescent="0.15">
      <c r="M201" s="8"/>
      <c r="N201" s="12"/>
      <c r="O201" s="273"/>
      <c r="P201" s="395"/>
      <c r="Q201" s="273"/>
      <c r="R201" s="395"/>
    </row>
    <row r="202" spans="13:18" x14ac:dyDescent="0.15">
      <c r="M202" s="8"/>
      <c r="N202" s="12"/>
      <c r="O202" s="273"/>
      <c r="P202" s="395"/>
      <c r="Q202" s="273"/>
      <c r="R202" s="395"/>
    </row>
    <row r="203" spans="13:18" x14ac:dyDescent="0.15">
      <c r="M203" s="8"/>
      <c r="N203" s="12"/>
      <c r="O203" s="273"/>
      <c r="P203" s="395"/>
      <c r="Q203" s="273"/>
      <c r="R203" s="395"/>
    </row>
    <row r="204" spans="13:18" x14ac:dyDescent="0.15">
      <c r="M204" s="8"/>
      <c r="N204" s="12"/>
      <c r="O204" s="273"/>
      <c r="P204" s="395"/>
      <c r="Q204" s="273"/>
      <c r="R204" s="395"/>
    </row>
    <row r="205" spans="13:18" x14ac:dyDescent="0.15">
      <c r="M205" s="8"/>
      <c r="N205" s="12"/>
      <c r="O205" s="273"/>
      <c r="P205" s="395"/>
      <c r="Q205" s="273"/>
      <c r="R205" s="395"/>
    </row>
    <row r="206" spans="13:18" x14ac:dyDescent="0.15">
      <c r="M206" s="8"/>
      <c r="N206" s="12"/>
      <c r="O206" s="273"/>
      <c r="P206" s="395"/>
      <c r="Q206" s="273"/>
      <c r="R206" s="395"/>
    </row>
    <row r="207" spans="13:18" x14ac:dyDescent="0.15">
      <c r="M207" s="8"/>
      <c r="N207" s="12"/>
      <c r="O207" s="273"/>
      <c r="P207" s="395"/>
      <c r="Q207" s="273"/>
      <c r="R207" s="395"/>
    </row>
  </sheetData>
  <mergeCells count="59">
    <mergeCell ref="A9:A11"/>
    <mergeCell ref="B9:F11"/>
    <mergeCell ref="G9:G11"/>
    <mergeCell ref="H9:H11"/>
    <mergeCell ref="I9:J11"/>
    <mergeCell ref="W9:X11"/>
    <mergeCell ref="Y9:Z11"/>
    <mergeCell ref="AA9:AB11"/>
    <mergeCell ref="AC9:AD11"/>
    <mergeCell ref="B1:G1"/>
    <mergeCell ref="B5:AE5"/>
    <mergeCell ref="B6:AE6"/>
    <mergeCell ref="B7:AE7"/>
    <mergeCell ref="K9:L11"/>
    <mergeCell ref="O11:P11"/>
    <mergeCell ref="Q11:R11"/>
    <mergeCell ref="S11:T11"/>
    <mergeCell ref="U11:V11"/>
    <mergeCell ref="M9:N11"/>
    <mergeCell ref="O9:V10"/>
    <mergeCell ref="AE9:AE11"/>
    <mergeCell ref="AF9:AF11"/>
    <mergeCell ref="AG9:AG11"/>
    <mergeCell ref="AH9:AH11"/>
    <mergeCell ref="AI9:AI11"/>
    <mergeCell ref="AF12:AF13"/>
    <mergeCell ref="AG12:AG13"/>
    <mergeCell ref="A131:X131"/>
    <mergeCell ref="Y12:Z12"/>
    <mergeCell ref="AA12:AB12"/>
    <mergeCell ref="AC12:AD12"/>
    <mergeCell ref="G56:G61"/>
    <mergeCell ref="A126:X126"/>
    <mergeCell ref="A127:X127"/>
    <mergeCell ref="A128:I128"/>
    <mergeCell ref="A130:X130"/>
    <mergeCell ref="M12:N12"/>
    <mergeCell ref="O12:P12"/>
    <mergeCell ref="Q12:R12"/>
    <mergeCell ref="S12:T12"/>
    <mergeCell ref="U12:V12"/>
    <mergeCell ref="AE12:AE13"/>
    <mergeCell ref="A12:A13"/>
    <mergeCell ref="B12:F13"/>
    <mergeCell ref="G12:G13"/>
    <mergeCell ref="H12:H13"/>
    <mergeCell ref="I12:J12"/>
    <mergeCell ref="K12:L12"/>
    <mergeCell ref="W12:X12"/>
    <mergeCell ref="Y139:AE139"/>
    <mergeCell ref="Y140:AE140"/>
    <mergeCell ref="Y145:AE145"/>
    <mergeCell ref="Y146:AE146"/>
    <mergeCell ref="A132:AE132"/>
    <mergeCell ref="A133:AE133"/>
    <mergeCell ref="A134:AE134"/>
    <mergeCell ref="A135:AE135"/>
    <mergeCell ref="Y137:AD137"/>
    <mergeCell ref="Y138:AE138"/>
  </mergeCells>
  <printOptions horizontalCentered="1"/>
  <pageMargins left="0" right="0" top="0.35433070866141736" bottom="7.874015748031496E-2"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TW I</vt:lpstr>
      <vt:lpstr>DAK</vt:lpstr>
      <vt:lpstr>BANTUAN KEUANGAN</vt:lpstr>
      <vt:lpstr>TUGAS PEMBANTUAN</vt:lpstr>
      <vt:lpstr>TW II</vt:lpstr>
      <vt:lpstr>'TW I'!Print_Area</vt:lpstr>
      <vt:lpstr>'TW II'!Print_Area</vt:lpstr>
      <vt:lpstr>'TW I'!Print_Titles</vt:lpstr>
      <vt:lpstr>'TW 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Evaluasi Pelaporan</dc:creator>
  <cp:lastModifiedBy>bpkad</cp:lastModifiedBy>
  <cp:lastPrinted>2018-03-26T05:57:31Z</cp:lastPrinted>
  <dcterms:created xsi:type="dcterms:W3CDTF">2015-01-19T06:15:21Z</dcterms:created>
  <dcterms:modified xsi:type="dcterms:W3CDTF">2018-08-08T15:15:49Z</dcterms:modified>
</cp:coreProperties>
</file>