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RENJA\EVLAP RENJA 2019\"/>
    </mc:Choice>
  </mc:AlternateContent>
  <bookViews>
    <workbookView xWindow="10605" yWindow="-285" windowWidth="9900" windowHeight="8325" activeTab="1"/>
  </bookViews>
  <sheets>
    <sheet name="TW 2" sheetId="2" r:id="rId1"/>
    <sheet name="TW 2 RENJA" sheetId="3" r:id="rId2"/>
  </sheets>
  <definedNames>
    <definedName name="_xlnm.Print_Area" localSheetId="0">'TW 2'!$A$1:$AO$120</definedName>
    <definedName name="_xlnm.Print_Area" localSheetId="1">'TW 2 RENJA'!$A$4:$X$81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2" l="1"/>
  <c r="S81" i="3" l="1"/>
  <c r="S80" i="3"/>
  <c r="S79" i="3"/>
  <c r="S78" i="3"/>
  <c r="N78" i="3"/>
  <c r="S77" i="3"/>
  <c r="S76" i="3"/>
  <c r="N76" i="3"/>
  <c r="S75" i="3"/>
  <c r="S74" i="3"/>
  <c r="S73" i="3"/>
  <c r="S72" i="3"/>
  <c r="S71" i="3"/>
  <c r="K69" i="3"/>
  <c r="S69" i="3" s="1"/>
  <c r="K68" i="3"/>
  <c r="S68" i="3" s="1"/>
  <c r="K67" i="3"/>
  <c r="S67" i="3" s="1"/>
  <c r="L66" i="3"/>
  <c r="K66" i="3"/>
  <c r="S66" i="3" s="1"/>
  <c r="J66" i="3"/>
  <c r="H66" i="3"/>
  <c r="F66" i="3"/>
  <c r="S65" i="3"/>
  <c r="N65" i="3"/>
  <c r="S64" i="3"/>
  <c r="N64" i="3"/>
  <c r="S63" i="3"/>
  <c r="J63" i="3"/>
  <c r="S62" i="3"/>
  <c r="N62" i="3"/>
  <c r="K61" i="3"/>
  <c r="S61" i="3" s="1"/>
  <c r="K60" i="3"/>
  <c r="S60" i="3" s="1"/>
  <c r="S59" i="3"/>
  <c r="L58" i="3"/>
  <c r="K58" i="3"/>
  <c r="S58" i="3" s="1"/>
  <c r="H58" i="3"/>
  <c r="F58" i="3"/>
  <c r="S57" i="3"/>
  <c r="S56" i="3"/>
  <c r="S55" i="3"/>
  <c r="S54" i="3"/>
  <c r="S53" i="3"/>
  <c r="N53" i="3"/>
  <c r="S52" i="3"/>
  <c r="S51" i="3"/>
  <c r="N51" i="3"/>
  <c r="S50" i="3"/>
  <c r="S49" i="3"/>
  <c r="S48" i="3"/>
  <c r="S47" i="3"/>
  <c r="S46" i="3"/>
  <c r="L46" i="3"/>
  <c r="J46" i="3"/>
  <c r="H46" i="3"/>
  <c r="F46" i="3"/>
  <c r="S45" i="3"/>
  <c r="S44" i="3"/>
  <c r="N44" i="3"/>
  <c r="S43" i="3"/>
  <c r="N43" i="3"/>
  <c r="S42" i="3"/>
  <c r="S41" i="3"/>
  <c r="S40" i="3"/>
  <c r="M39" i="3"/>
  <c r="S39" i="3" s="1"/>
  <c r="L39" i="3"/>
  <c r="J39" i="3"/>
  <c r="H39" i="3"/>
  <c r="F39" i="3"/>
  <c r="S38" i="3"/>
  <c r="S37" i="3"/>
  <c r="N37" i="3"/>
  <c r="N36" i="3"/>
  <c r="N35" i="3"/>
  <c r="S34" i="3"/>
  <c r="N34" i="3"/>
  <c r="H34" i="3"/>
  <c r="H32" i="3" s="1"/>
  <c r="S33" i="3"/>
  <c r="L32" i="3"/>
  <c r="K32" i="3"/>
  <c r="S32" i="3" s="1"/>
  <c r="J32" i="3"/>
  <c r="F32" i="3"/>
  <c r="S31" i="3"/>
  <c r="S30" i="3"/>
  <c r="S29" i="3"/>
  <c r="L28" i="3"/>
  <c r="K28" i="3"/>
  <c r="S28" i="3" s="1"/>
  <c r="J28" i="3"/>
  <c r="H28" i="3"/>
  <c r="F28" i="3"/>
  <c r="N27" i="3"/>
  <c r="H27" i="3"/>
  <c r="F27" i="3"/>
  <c r="N26" i="3"/>
  <c r="F26" i="3"/>
  <c r="N25" i="3"/>
  <c r="F25" i="3"/>
  <c r="S24" i="3"/>
  <c r="F24" i="3"/>
  <c r="N19" i="3"/>
  <c r="F19" i="3"/>
  <c r="S18" i="3"/>
  <c r="N18" i="3"/>
  <c r="F18" i="3"/>
  <c r="N11" i="3"/>
  <c r="F11" i="3"/>
  <c r="E10" i="3"/>
  <c r="F10" i="3" s="1"/>
  <c r="K9" i="3"/>
  <c r="R6" i="3"/>
  <c r="P6" i="3"/>
  <c r="L6" i="3"/>
  <c r="J6" i="3"/>
  <c r="H6" i="3"/>
  <c r="N32" i="3" l="1"/>
  <c r="J58" i="3"/>
  <c r="N58" i="3"/>
  <c r="F6" i="3"/>
  <c r="N6" i="3"/>
  <c r="N46" i="3"/>
  <c r="N39" i="3"/>
  <c r="N77" i="3"/>
  <c r="J101" i="2"/>
  <c r="J56" i="2"/>
  <c r="J70" i="2" s="1"/>
  <c r="T70" i="2"/>
  <c r="V69" i="2"/>
  <c r="V68" i="2"/>
  <c r="U68" i="2"/>
  <c r="W68" i="2"/>
  <c r="Y68" i="2"/>
  <c r="Z68" i="2"/>
  <c r="Y65" i="2"/>
  <c r="Y66" i="2"/>
  <c r="Y67" i="2"/>
  <c r="X65" i="2"/>
  <c r="X66" i="2"/>
  <c r="X67" i="2"/>
  <c r="W65" i="2"/>
  <c r="W66" i="2"/>
  <c r="W67" i="2"/>
  <c r="V65" i="2"/>
  <c r="V66" i="2"/>
  <c r="V67" i="2"/>
  <c r="U65" i="2"/>
  <c r="U66" i="2"/>
  <c r="U67" i="2"/>
  <c r="T65" i="2"/>
  <c r="T66" i="2"/>
  <c r="T67" i="2"/>
  <c r="S65" i="2"/>
  <c r="S66" i="2"/>
  <c r="S67" i="2"/>
  <c r="N66" i="3" l="1"/>
  <c r="N63" i="2"/>
  <c r="T63" i="2" s="1"/>
  <c r="N39" i="2" l="1"/>
  <c r="T39" i="2" s="1"/>
  <c r="N30" i="2"/>
  <c r="N14" i="2"/>
  <c r="J9" i="2" l="1"/>
  <c r="N40" i="2"/>
  <c r="N93" i="2"/>
  <c r="N91" i="2"/>
  <c r="N42" i="2"/>
  <c r="N29" i="2"/>
  <c r="N28" i="2"/>
  <c r="N22" i="2"/>
  <c r="M48" i="2" l="1"/>
  <c r="N92" i="2"/>
  <c r="N79" i="2"/>
  <c r="N78" i="2"/>
  <c r="N76" i="2"/>
  <c r="N61" i="2"/>
  <c r="N56" i="2" s="1"/>
  <c r="N53" i="2"/>
  <c r="N52" i="2"/>
  <c r="N41" i="2"/>
  <c r="N37" i="2" s="1"/>
  <c r="N21" i="2"/>
  <c r="N72" i="2" l="1"/>
  <c r="N81" i="2"/>
  <c r="N99" i="2" s="1"/>
  <c r="N48" i="2"/>
  <c r="N70" i="2" s="1"/>
  <c r="M99" i="2"/>
  <c r="O99" i="2"/>
  <c r="P99" i="2"/>
  <c r="Q99" i="2"/>
  <c r="R99" i="2"/>
  <c r="K70" i="2"/>
  <c r="M70" i="2"/>
  <c r="O70" i="2"/>
  <c r="P70" i="2"/>
  <c r="Q70" i="2"/>
  <c r="R70" i="2"/>
  <c r="S86" i="2" l="1"/>
  <c r="U86" i="2" s="1"/>
  <c r="T90" i="2"/>
  <c r="X90" i="2" s="1"/>
  <c r="Z90" i="2" s="1"/>
  <c r="T92" i="2"/>
  <c r="V92" i="2" s="1"/>
  <c r="T93" i="2"/>
  <c r="X93" i="2" s="1"/>
  <c r="Z93" i="2" s="1"/>
  <c r="T89" i="2"/>
  <c r="X89" i="2" s="1"/>
  <c r="Z89" i="2" s="1"/>
  <c r="S87" i="2"/>
  <c r="W87" i="2" s="1"/>
  <c r="Y87" i="2" s="1"/>
  <c r="S88" i="2"/>
  <c r="W88" i="2" s="1"/>
  <c r="Y88" i="2" s="1"/>
  <c r="S89" i="2"/>
  <c r="W89" i="2" s="1"/>
  <c r="Y89" i="2" s="1"/>
  <c r="S90" i="2"/>
  <c r="W90" i="2" s="1"/>
  <c r="Y90" i="2" s="1"/>
  <c r="S91" i="2"/>
  <c r="W91" i="2" s="1"/>
  <c r="Y91" i="2" s="1"/>
  <c r="S92" i="2"/>
  <c r="W92" i="2" s="1"/>
  <c r="Y92" i="2" s="1"/>
  <c r="S93" i="2"/>
  <c r="W93" i="2" s="1"/>
  <c r="Y93" i="2" s="1"/>
  <c r="J81" i="2"/>
  <c r="H81" i="2"/>
  <c r="F81" i="2"/>
  <c r="Y97" i="2" l="1"/>
  <c r="W97" i="2"/>
  <c r="X92" i="2"/>
  <c r="Z92" i="2" s="1"/>
  <c r="U88" i="2"/>
  <c r="U91" i="2"/>
  <c r="U87" i="2"/>
  <c r="V89" i="2"/>
  <c r="V90" i="2"/>
  <c r="U92" i="2"/>
  <c r="U93" i="2"/>
  <c r="U90" i="2"/>
  <c r="V93" i="2"/>
  <c r="W86" i="2"/>
  <c r="Y86" i="2" s="1"/>
  <c r="U89" i="2"/>
  <c r="S73" i="2"/>
  <c r="U73" i="2" s="1"/>
  <c r="T77" i="2"/>
  <c r="X77" i="2" s="1"/>
  <c r="T78" i="2"/>
  <c r="V78" i="2" s="1"/>
  <c r="T79" i="2"/>
  <c r="X79" i="2" s="1"/>
  <c r="T76" i="2"/>
  <c r="X76" i="2" s="1"/>
  <c r="H72" i="2"/>
  <c r="H99" i="2" s="1"/>
  <c r="F72" i="2"/>
  <c r="F99" i="2" s="1"/>
  <c r="S62" i="2"/>
  <c r="U62" i="2" s="1"/>
  <c r="S63" i="2"/>
  <c r="U63" i="2" s="1"/>
  <c r="S64" i="2"/>
  <c r="U64" i="2" s="1"/>
  <c r="S61" i="2"/>
  <c r="W61" i="2" s="1"/>
  <c r="H56" i="2"/>
  <c r="F56" i="2"/>
  <c r="S57" i="2"/>
  <c r="U57" i="2" s="1"/>
  <c r="S58" i="2"/>
  <c r="W58" i="2" s="1"/>
  <c r="Y58" i="2" s="1"/>
  <c r="S59" i="2"/>
  <c r="W59" i="2" s="1"/>
  <c r="Y59" i="2" s="1"/>
  <c r="S60" i="2"/>
  <c r="U60" i="2" s="1"/>
  <c r="S56" i="2"/>
  <c r="U56" i="2" s="1"/>
  <c r="S49" i="2"/>
  <c r="U49" i="2" s="1"/>
  <c r="S50" i="2"/>
  <c r="U50" i="2" s="1"/>
  <c r="S48" i="2"/>
  <c r="F32" i="2"/>
  <c r="T40" i="2"/>
  <c r="X40" i="2" s="1"/>
  <c r="Z40" i="2" s="1"/>
  <c r="T41" i="2"/>
  <c r="V41" i="2" s="1"/>
  <c r="T42" i="2"/>
  <c r="X42" i="2" s="1"/>
  <c r="Z42" i="2" s="1"/>
  <c r="T43" i="2"/>
  <c r="X43" i="2" s="1"/>
  <c r="Z43" i="2" s="1"/>
  <c r="V39" i="2"/>
  <c r="S39" i="2"/>
  <c r="U39" i="2" s="1"/>
  <c r="S40" i="2"/>
  <c r="U40" i="2" s="1"/>
  <c r="S41" i="2"/>
  <c r="W41" i="2" s="1"/>
  <c r="Y41" i="2" s="1"/>
  <c r="S42" i="2"/>
  <c r="W42" i="2" s="1"/>
  <c r="Y42" i="2" s="1"/>
  <c r="S43" i="2"/>
  <c r="W43" i="2" s="1"/>
  <c r="Y43" i="2" s="1"/>
  <c r="S38" i="2"/>
  <c r="W38" i="2" s="1"/>
  <c r="Y38" i="2" s="1"/>
  <c r="T34" i="2"/>
  <c r="V34" i="2" s="1"/>
  <c r="T35" i="2"/>
  <c r="X35" i="2" s="1"/>
  <c r="Z35" i="2" s="1"/>
  <c r="S33" i="2"/>
  <c r="U33" i="2" s="1"/>
  <c r="S34" i="2"/>
  <c r="W34" i="2" s="1"/>
  <c r="S35" i="2"/>
  <c r="W35" i="2" s="1"/>
  <c r="Y35" i="2" s="1"/>
  <c r="R9" i="2"/>
  <c r="R46" i="2" s="1"/>
  <c r="R101" i="2" s="1"/>
  <c r="P9" i="2"/>
  <c r="P46" i="2" s="1"/>
  <c r="P101" i="2" s="1"/>
  <c r="N9" i="2"/>
  <c r="N46" i="2" s="1"/>
  <c r="N101" i="2" s="1"/>
  <c r="T28" i="2"/>
  <c r="T29" i="2"/>
  <c r="T30" i="2"/>
  <c r="S27" i="2"/>
  <c r="S28" i="2"/>
  <c r="S29" i="2"/>
  <c r="S30" i="2"/>
  <c r="F30" i="2"/>
  <c r="F29" i="2"/>
  <c r="F28" i="2"/>
  <c r="F27" i="2"/>
  <c r="T22" i="2"/>
  <c r="X22" i="2" s="1"/>
  <c r="T21" i="2"/>
  <c r="S22" i="2"/>
  <c r="W22" i="2" s="1"/>
  <c r="Y22" i="2" s="1"/>
  <c r="S23" i="2"/>
  <c r="W23" i="2" s="1"/>
  <c r="Y23" i="2" s="1"/>
  <c r="S24" i="2"/>
  <c r="W24" i="2" s="1"/>
  <c r="Y24" i="2" s="1"/>
  <c r="S25" i="2"/>
  <c r="W25" i="2" s="1"/>
  <c r="Y25" i="2" s="1"/>
  <c r="S26" i="2"/>
  <c r="W26" i="2" s="1"/>
  <c r="Y26" i="2" s="1"/>
  <c r="F22" i="2"/>
  <c r="F21" i="2"/>
  <c r="W13" i="2"/>
  <c r="U13" i="2"/>
  <c r="W9" i="2"/>
  <c r="Y9" i="2" s="1"/>
  <c r="U10" i="2"/>
  <c r="W11" i="2"/>
  <c r="Y11" i="2" s="1"/>
  <c r="X78" i="2" l="1"/>
  <c r="V79" i="2"/>
  <c r="W48" i="2"/>
  <c r="Y48" i="2" s="1"/>
  <c r="S70" i="2"/>
  <c r="Z76" i="2"/>
  <c r="U97" i="2"/>
  <c r="W50" i="2"/>
  <c r="Y50" i="2" s="1"/>
  <c r="U48" i="2"/>
  <c r="V76" i="2"/>
  <c r="W49" i="2"/>
  <c r="V35" i="2"/>
  <c r="V36" i="2" s="1"/>
  <c r="U59" i="2"/>
  <c r="W56" i="2"/>
  <c r="Y56" i="2" s="1"/>
  <c r="W60" i="2"/>
  <c r="Y60" i="2" s="1"/>
  <c r="W57" i="2"/>
  <c r="Y57" i="2" s="1"/>
  <c r="Y61" i="2"/>
  <c r="U38" i="2"/>
  <c r="U61" i="2"/>
  <c r="U58" i="2"/>
  <c r="Z22" i="2"/>
  <c r="U37" i="2"/>
  <c r="V22" i="2"/>
  <c r="V40" i="2"/>
  <c r="X41" i="2"/>
  <c r="Z41" i="2" s="1"/>
  <c r="U43" i="2"/>
  <c r="W36" i="2"/>
  <c r="Y34" i="2"/>
  <c r="Y36" i="2" s="1"/>
  <c r="W40" i="2"/>
  <c r="Y40" i="2" s="1"/>
  <c r="U9" i="2"/>
  <c r="U35" i="2"/>
  <c r="U42" i="2"/>
  <c r="V43" i="2"/>
  <c r="W39" i="2"/>
  <c r="U34" i="2"/>
  <c r="W33" i="2"/>
  <c r="Y33" i="2" s="1"/>
  <c r="U41" i="2"/>
  <c r="V42" i="2"/>
  <c r="W10" i="2"/>
  <c r="U11" i="2"/>
  <c r="U36" i="2" l="1"/>
  <c r="U70" i="2"/>
  <c r="Y49" i="2"/>
  <c r="Y70" i="2" s="1"/>
  <c r="W70" i="2"/>
  <c r="Y10" i="2"/>
  <c r="U44" i="2"/>
  <c r="V44" i="2"/>
  <c r="Y39" i="2"/>
  <c r="Y44" i="2" s="1"/>
  <c r="W44" i="2"/>
  <c r="F14" i="2" l="1"/>
  <c r="F9" i="2" s="1"/>
  <c r="K12" i="2" l="1"/>
  <c r="U12" i="2" s="1"/>
  <c r="T14" i="2"/>
  <c r="K32" i="2"/>
  <c r="S32" i="2" s="1"/>
  <c r="W32" i="2" l="1"/>
  <c r="Y32" i="2" s="1"/>
  <c r="U32" i="2"/>
  <c r="X14" i="2"/>
  <c r="Z14" i="2" s="1"/>
  <c r="V14" i="2"/>
  <c r="W12" i="2"/>
  <c r="U46" i="2"/>
  <c r="Y12" i="2" l="1"/>
  <c r="J48" i="2"/>
  <c r="H48" i="2"/>
  <c r="H70" i="2" s="1"/>
  <c r="F48" i="2"/>
  <c r="F70" i="2" s="1"/>
  <c r="J32" i="2"/>
  <c r="H32" i="2"/>
  <c r="L48" i="2"/>
  <c r="K84" i="2"/>
  <c r="S84" i="2" s="1"/>
  <c r="K82" i="2"/>
  <c r="S82" i="2" s="1"/>
  <c r="W82" i="2" s="1"/>
  <c r="Y82" i="2" s="1"/>
  <c r="K83" i="2"/>
  <c r="S83" i="2" s="1"/>
  <c r="K81" i="2"/>
  <c r="S81" i="2" s="1"/>
  <c r="L81" i="2"/>
  <c r="T81" i="2" s="1"/>
  <c r="K75" i="2"/>
  <c r="S75" i="2" s="1"/>
  <c r="K74" i="2"/>
  <c r="S74" i="2" s="1"/>
  <c r="K72" i="2"/>
  <c r="S72" i="2" s="1"/>
  <c r="L72" i="2"/>
  <c r="L56" i="2"/>
  <c r="T56" i="2" s="1"/>
  <c r="L37" i="2"/>
  <c r="T37" i="2" s="1"/>
  <c r="K37" i="2"/>
  <c r="S37" i="2" s="1"/>
  <c r="W37" i="2" s="1"/>
  <c r="Y37" i="2" s="1"/>
  <c r="J37" i="2"/>
  <c r="F37" i="2"/>
  <c r="F46" i="2" s="1"/>
  <c r="L32" i="2"/>
  <c r="T32" i="2" s="1"/>
  <c r="J46" i="2" l="1"/>
  <c r="F101" i="2"/>
  <c r="T72" i="2"/>
  <c r="T99" i="2" s="1"/>
  <c r="L99" i="2"/>
  <c r="T48" i="2"/>
  <c r="L70" i="2"/>
  <c r="S99" i="2"/>
  <c r="W81" i="2"/>
  <c r="Y81" i="2" s="1"/>
  <c r="U81" i="2"/>
  <c r="W84" i="2"/>
  <c r="Y84" i="2" s="1"/>
  <c r="U84" i="2"/>
  <c r="U83" i="2"/>
  <c r="W83" i="2"/>
  <c r="Y83" i="2" s="1"/>
  <c r="X81" i="2"/>
  <c r="Z81" i="2" s="1"/>
  <c r="V81" i="2"/>
  <c r="W72" i="2"/>
  <c r="U72" i="2"/>
  <c r="U75" i="2"/>
  <c r="W75" i="2"/>
  <c r="Y75" i="2" s="1"/>
  <c r="X32" i="2"/>
  <c r="Z32" i="2" s="1"/>
  <c r="V32" i="2"/>
  <c r="X37" i="2"/>
  <c r="Z37" i="2" s="1"/>
  <c r="V37" i="2"/>
  <c r="U74" i="2"/>
  <c r="W74" i="2"/>
  <c r="Y74" i="2" s="1"/>
  <c r="W46" i="2"/>
  <c r="V56" i="2"/>
  <c r="X56" i="2"/>
  <c r="Z56" i="2" s="1"/>
  <c r="W73" i="2"/>
  <c r="Y73" i="2" s="1"/>
  <c r="Y46" i="2"/>
  <c r="X39" i="2"/>
  <c r="T51" i="2"/>
  <c r="T52" i="2"/>
  <c r="T53" i="2"/>
  <c r="V53" i="2" s="1"/>
  <c r="T54" i="2"/>
  <c r="T61" i="2"/>
  <c r="T62" i="2"/>
  <c r="T64" i="2"/>
  <c r="Z77" i="2"/>
  <c r="T87" i="2"/>
  <c r="X87" i="2" s="1"/>
  <c r="Z87" i="2" s="1"/>
  <c r="T88" i="2"/>
  <c r="V88" i="2" s="1"/>
  <c r="S51" i="2"/>
  <c r="S52" i="2"/>
  <c r="U52" i="2" s="1"/>
  <c r="S53" i="2"/>
  <c r="S54" i="2"/>
  <c r="W63" i="2"/>
  <c r="Y63" i="2" s="1"/>
  <c r="W64" i="2"/>
  <c r="Y64" i="2" s="1"/>
  <c r="S76" i="2"/>
  <c r="S77" i="2"/>
  <c r="S78" i="2"/>
  <c r="S79" i="2"/>
  <c r="U79" i="2" s="1"/>
  <c r="S94" i="2"/>
  <c r="S95" i="2"/>
  <c r="S96" i="2"/>
  <c r="X34" i="2"/>
  <c r="T27" i="2"/>
  <c r="X27" i="2" s="1"/>
  <c r="X28" i="2"/>
  <c r="X29" i="2"/>
  <c r="X30" i="2"/>
  <c r="X21" i="2"/>
  <c r="E13" i="2"/>
  <c r="Y13" i="2" s="1"/>
  <c r="S15" i="2"/>
  <c r="S16" i="2"/>
  <c r="S17" i="2"/>
  <c r="S18" i="2"/>
  <c r="S19" i="2"/>
  <c r="S20" i="2"/>
  <c r="S21" i="2"/>
  <c r="W21" i="2" s="1"/>
  <c r="Y21" i="2" s="1"/>
  <c r="U24" i="2"/>
  <c r="U25" i="2"/>
  <c r="U27" i="2"/>
  <c r="W28" i="2"/>
  <c r="Y28" i="2" s="1"/>
  <c r="U29" i="2"/>
  <c r="U30" i="2"/>
  <c r="S14" i="2"/>
  <c r="X72" i="2" l="1"/>
  <c r="X99" i="2" s="1"/>
  <c r="X48" i="2"/>
  <c r="Z48" i="2" s="1"/>
  <c r="Z70" i="2" s="1"/>
  <c r="Y72" i="2"/>
  <c r="Y99" i="2" s="1"/>
  <c r="Y102" i="2" s="1"/>
  <c r="W99" i="2"/>
  <c r="V48" i="2"/>
  <c r="V70" i="2" s="1"/>
  <c r="U99" i="2"/>
  <c r="U102" i="2" s="1"/>
  <c r="U76" i="2"/>
  <c r="W76" i="2"/>
  <c r="Z34" i="2"/>
  <c r="Z36" i="2" s="1"/>
  <c r="X36" i="2"/>
  <c r="W53" i="2"/>
  <c r="Y53" i="2" s="1"/>
  <c r="U53" i="2"/>
  <c r="X64" i="2"/>
  <c r="Z64" i="2" s="1"/>
  <c r="V64" i="2"/>
  <c r="W78" i="2"/>
  <c r="Y78" i="2" s="1"/>
  <c r="U78" i="2"/>
  <c r="X63" i="2"/>
  <c r="Z63" i="2" s="1"/>
  <c r="V63" i="2"/>
  <c r="W77" i="2"/>
  <c r="Y77" i="2" s="1"/>
  <c r="U77" i="2"/>
  <c r="W51" i="2"/>
  <c r="Y51" i="2" s="1"/>
  <c r="U51" i="2"/>
  <c r="X62" i="2"/>
  <c r="Z62" i="2" s="1"/>
  <c r="V62" i="2"/>
  <c r="X52" i="2"/>
  <c r="Z52" i="2" s="1"/>
  <c r="V52" i="2"/>
  <c r="U14" i="2"/>
  <c r="W14" i="2"/>
  <c r="Y14" i="2" s="1"/>
  <c r="X54" i="2"/>
  <c r="Z54" i="2" s="1"/>
  <c r="V54" i="2"/>
  <c r="W54" i="2"/>
  <c r="Y54" i="2" s="1"/>
  <c r="U54" i="2"/>
  <c r="V61" i="2"/>
  <c r="X61" i="2"/>
  <c r="V51" i="2"/>
  <c r="X51" i="2"/>
  <c r="Z51" i="2" s="1"/>
  <c r="Z39" i="2"/>
  <c r="Z44" i="2" s="1"/>
  <c r="W18" i="2"/>
  <c r="Y18" i="2" s="1"/>
  <c r="U18" i="2"/>
  <c r="U15" i="2"/>
  <c r="W15" i="2"/>
  <c r="Y15" i="2" s="1"/>
  <c r="W19" i="2"/>
  <c r="Y19" i="2" s="1"/>
  <c r="U19" i="2"/>
  <c r="W17" i="2"/>
  <c r="Y17" i="2" s="1"/>
  <c r="U17" i="2"/>
  <c r="W20" i="2"/>
  <c r="Y20" i="2" s="1"/>
  <c r="U20" i="2"/>
  <c r="W16" i="2"/>
  <c r="Y16" i="2" s="1"/>
  <c r="U16" i="2"/>
  <c r="W62" i="2"/>
  <c r="X88" i="2"/>
  <c r="Z88" i="2" s="1"/>
  <c r="W52" i="2"/>
  <c r="Y52" i="2" s="1"/>
  <c r="U21" i="2"/>
  <c r="V87" i="2"/>
  <c r="Z79" i="2"/>
  <c r="X53" i="2"/>
  <c r="Z53" i="2" s="1"/>
  <c r="Z78" i="2"/>
  <c r="V27" i="2"/>
  <c r="W27" i="2"/>
  <c r="Y27" i="2" s="1"/>
  <c r="U23" i="2"/>
  <c r="V30" i="2"/>
  <c r="W30" i="2"/>
  <c r="Y30" i="2" s="1"/>
  <c r="U26" i="2"/>
  <c r="U22" i="2"/>
  <c r="V29" i="2"/>
  <c r="V21" i="2"/>
  <c r="W29" i="2"/>
  <c r="Y29" i="2" s="1"/>
  <c r="U28" i="2"/>
  <c r="V28" i="2"/>
  <c r="W79" i="2"/>
  <c r="Y79" i="2" s="1"/>
  <c r="Z72" i="2" l="1"/>
  <c r="Z99" i="2" s="1"/>
  <c r="X70" i="2"/>
  <c r="Z80" i="2"/>
  <c r="Y76" i="2"/>
  <c r="Y80" i="2" s="1"/>
  <c r="Y98" i="2" s="1"/>
  <c r="W80" i="2"/>
  <c r="W98" i="2" s="1"/>
  <c r="U80" i="2"/>
  <c r="U98" i="2" s="1"/>
  <c r="Y55" i="2"/>
  <c r="Z61" i="2"/>
  <c r="Y62" i="2"/>
  <c r="W55" i="2"/>
  <c r="U55" i="2"/>
  <c r="U69" i="2" s="1"/>
  <c r="Z55" i="2"/>
  <c r="V55" i="2"/>
  <c r="U31" i="2"/>
  <c r="Y31" i="2"/>
  <c r="W31" i="2"/>
  <c r="W45" i="2" s="1"/>
  <c r="F13" i="2"/>
  <c r="Z27" i="2"/>
  <c r="Z28" i="2"/>
  <c r="Z29" i="2"/>
  <c r="Z30" i="2"/>
  <c r="Z21" i="2"/>
  <c r="Z69" i="2" l="1"/>
  <c r="U45" i="2"/>
  <c r="U100" i="2"/>
  <c r="Y45" i="2"/>
  <c r="Y100" i="2"/>
  <c r="W69" i="2"/>
  <c r="Y69" i="2"/>
  <c r="L9" i="2" l="1"/>
  <c r="J77" i="2"/>
  <c r="V77" i="2" s="1"/>
  <c r="V80" i="2" s="1"/>
  <c r="J72" i="2" l="1"/>
  <c r="J99" i="2" s="1"/>
  <c r="T9" i="2"/>
  <c r="T46" i="2" s="1"/>
  <c r="T101" i="2" s="1"/>
  <c r="L46" i="2"/>
  <c r="L101" i="2" s="1"/>
  <c r="V72" i="2" l="1"/>
  <c r="V99" i="2" s="1"/>
  <c r="X9" i="2"/>
  <c r="X46" i="2" s="1"/>
  <c r="X101" i="2" s="1"/>
  <c r="H39" i="2"/>
  <c r="H37" i="2" s="1"/>
  <c r="Z9" i="2" l="1"/>
  <c r="Z46" i="2" s="1"/>
  <c r="Z102" i="2" s="1"/>
  <c r="V31" i="2"/>
  <c r="V9" i="2"/>
  <c r="V46" i="2" s="1"/>
  <c r="V102" i="2" s="1"/>
  <c r="Z31" i="2"/>
  <c r="H30" i="2"/>
  <c r="Z45" i="2" l="1"/>
  <c r="V45" i="2"/>
  <c r="H9" i="2"/>
  <c r="H46" i="2" s="1"/>
  <c r="H101" i="2" s="1"/>
  <c r="U103" i="2" l="1"/>
  <c r="AA103" i="2" l="1"/>
  <c r="V103" i="2" l="1"/>
  <c r="AB103" i="2"/>
  <c r="T91" i="2" l="1"/>
  <c r="V91" i="2" s="1"/>
  <c r="V97" i="2" s="1"/>
  <c r="V100" i="2" l="1"/>
  <c r="V98" i="2"/>
  <c r="X91" i="2"/>
  <c r="Z91" i="2" s="1"/>
  <c r="Z97" i="2" s="1"/>
  <c r="Z98" i="2" l="1"/>
  <c r="Z100" i="2"/>
</calcChain>
</file>

<file path=xl/comments1.xml><?xml version="1.0" encoding="utf-8"?>
<comments xmlns="http://schemas.openxmlformats.org/spreadsheetml/2006/main">
  <authors>
    <author>Author</author>
  </authors>
  <commentList>
    <comment ref="C79" authorId="0" shapeId="0">
      <text>
        <r>
          <rPr>
            <b/>
            <sz val="9"/>
            <color indexed="81"/>
            <rFont val="Tahoma"/>
            <family val="2"/>
          </rPr>
          <t>pemagangan, pembimbingan, Pelatihan, pendampingan, promosi, dan/atau bantuan akses permodalan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65" authorId="0" shapeId="0">
      <text>
        <r>
          <rPr>
            <b/>
            <sz val="9"/>
            <color indexed="81"/>
            <rFont val="Tahoma"/>
            <family val="2"/>
          </rPr>
          <t>pemagangan, pembimbingan, Pelatihan, pendampingan, promosi, dan/atau bantuan akses permodalan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<sst xmlns="http://schemas.openxmlformats.org/spreadsheetml/2006/main" count="588" uniqueCount="224">
  <si>
    <t>Kode Rekening</t>
  </si>
  <si>
    <t>Urusan/ Bidang Urusan Pemerintahan Daerah dan Program/ Kegiatan</t>
  </si>
  <si>
    <t>Indikator Kinerja Program (Outcome)/Kegiatan (Output)</t>
  </si>
  <si>
    <t>Realisasi Kinerja Pada Triwulan</t>
  </si>
  <si>
    <t>Unit SKPD Penanggung Jawab</t>
  </si>
  <si>
    <t>Keterangan</t>
  </si>
  <si>
    <t>I</t>
  </si>
  <si>
    <t>II</t>
  </si>
  <si>
    <t>III</t>
  </si>
  <si>
    <t>IV</t>
  </si>
  <si>
    <t>K</t>
  </si>
  <si>
    <t>Rp</t>
  </si>
  <si>
    <t>Pengembangan objek pariwisata unggulan</t>
  </si>
  <si>
    <t>Pengembangan sumber daya manusia dan profesionalisme bidang pariwisata</t>
  </si>
  <si>
    <t>1.18.1.18.01.21.08</t>
  </si>
  <si>
    <t>Mengadakan rehabilitasi sarana olahraga</t>
  </si>
  <si>
    <t>Terlaksananya rehabilitasi sarana prasarana olahraga</t>
  </si>
  <si>
    <t>60 blan</t>
  </si>
  <si>
    <t xml:space="preserve">Disusun oleh, </t>
  </si>
  <si>
    <t>Dievaluasi</t>
  </si>
  <si>
    <t>KOTA SERANG</t>
  </si>
  <si>
    <t>KEPALA DINAS PARIWISATA KEPEMUDAAN DAN OLAHRAGA</t>
  </si>
  <si>
    <r>
      <rPr>
        <b/>
        <sz val="26"/>
        <color theme="1"/>
        <rFont val="Calibri"/>
        <family val="2"/>
        <scheme val="minor"/>
      </rPr>
      <t xml:space="preserve">KEPALA BAPPEDA
</t>
    </r>
    <r>
      <rPr>
        <sz val="26"/>
        <color theme="1"/>
        <rFont val="Calibri"/>
        <family val="2"/>
        <scheme val="minor"/>
      </rPr>
      <t xml:space="preserve">
</t>
    </r>
  </si>
  <si>
    <t>Program Pelayanan dan Peningkatan Kapasitas Aparatur</t>
  </si>
  <si>
    <t>Pelayanan Administrasi Perkantoran</t>
  </si>
  <si>
    <t>Jumlah Materai (Pcs)</t>
  </si>
  <si>
    <t>Jumlah Jasa Komunikasi, SDA dan Listrik (Bulan)</t>
  </si>
  <si>
    <t>Jumlah Jasa Kebersihan (Bulan)</t>
  </si>
  <si>
    <t>Jumlah Alat Tulis Kantor (Bulan)</t>
  </si>
  <si>
    <t>Jumlah Cetakan Dan Penggandaan (Bulan)</t>
  </si>
  <si>
    <t>Jumlah Komponen Instalasi Listrik (Bulan)</t>
  </si>
  <si>
    <t>Jumlah Bahan Bacaan (Bulan)</t>
  </si>
  <si>
    <t>Jumlah Jasa Pengamanan Kantor (Bulan)</t>
  </si>
  <si>
    <t>Pengadaan Sarana dan Prasarana Kantor</t>
  </si>
  <si>
    <t>Jumlah Kendaraan Roda Empat (Unit)</t>
  </si>
  <si>
    <t>Pemeliharaan Sarana dan Prasarana</t>
  </si>
  <si>
    <t>Jumlah Gedung Yang Di Pelihara</t>
  </si>
  <si>
    <t>Jumlah Unit Peralatan Kantor Yang Dipelihara</t>
  </si>
  <si>
    <t>Jumlah Unit Perlengkapan Kantor Yang Dipelihara</t>
  </si>
  <si>
    <t>Jumlah Unit Kendaraan Dinas/Operasional Yang di Pelihara Roda 4</t>
  </si>
  <si>
    <t>Jumlah Unit Kendaraan Dinas/Operasional Yang di Pelihara Roda 2</t>
  </si>
  <si>
    <t>Penyediaan Dokumentasi, Informatika dan Komunikasi OPD</t>
  </si>
  <si>
    <t>Jumlah Kegiatan Dokumentasi, Informatika dan Komunikasi OPD (Kgt)</t>
  </si>
  <si>
    <t>Pengeloaan Barang Milik Daerah</t>
  </si>
  <si>
    <t>Jumlah Dokumen Pengeloaan Barang Milik Daerah</t>
  </si>
  <si>
    <t xml:space="preserve">Penyedian Makanan dan Minuman </t>
  </si>
  <si>
    <t xml:space="preserve">Jumlah Penyedian Makanan dan Minuman </t>
  </si>
  <si>
    <t>Rapat-Rapat koordinasi dan konsultasi Dalam dan Luar Daerah</t>
  </si>
  <si>
    <t>Jumlah Rapat-Rapat koordinasi dan konsultasi Dalam dan Luar Daerah</t>
  </si>
  <si>
    <t>Program Pengelolaan dan Pelaporan Keuangan</t>
  </si>
  <si>
    <t>Tingkat Ketersediaan Dokumen Pengelolaan dan Pelaporan Keuangan (%)</t>
  </si>
  <si>
    <t>Tingkat Ketepatan Waktu Penyampaian Dokumen Pengelolaan Dan Pelaporan Keuangan  (%)</t>
  </si>
  <si>
    <t>Penyusunan Pelaporan Keuangan Triwulanan dan Semestera</t>
  </si>
  <si>
    <t>Penyusunan Pelaporan Keuangan  Akhir Tahun</t>
  </si>
  <si>
    <t>Jumlah Dokumen Pelaporan Keuangan Triwulanan dan Semesteran (Dok)</t>
  </si>
  <si>
    <t>Terlaksananya Penyusunan Laporan  Akhir Tahun (Dok)</t>
  </si>
  <si>
    <t>Program Peningkatan Perencanaan, Pengendalian dan Pelaporan Capaian Kinerja</t>
  </si>
  <si>
    <t>Tingkat Ketersediaan Dokumen Perencanaan, Pengendalian dan Pelaporan Capaian Kinerja</t>
  </si>
  <si>
    <t xml:space="preserve">Tingkat Ketepatan Waktu Penyampaian Dokumen Perencanaan, Pengendalian dan Pelaporan Capaian Kinerja 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</si>
  <si>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</si>
  <si>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</si>
  <si>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</si>
  <si>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</si>
  <si>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 xml:space="preserve">Penyusunan Data dan Profil Perangkat Daerah </t>
  </si>
  <si>
    <t>Jumlah dokumen Renja dan Renstra OPD</t>
  </si>
  <si>
    <t>Jumlah dokumen RKA dan DPA</t>
  </si>
  <si>
    <t>Jumlah dokumen evaluasi kinerja</t>
  </si>
  <si>
    <t>Jumlah dokumen LAKIP, LPPD, LKPJ,
Kinerja ( PK ) &amp; IKU</t>
  </si>
  <si>
    <t xml:space="preserve">Jumlah Dokumen Data dan Profil Perangkat Daerah </t>
  </si>
  <si>
    <t>Program Promosi pariwisata</t>
  </si>
  <si>
    <t>Capaian kerjasama pariwisata</t>
  </si>
  <si>
    <t>Capaian pengembangan atraksi pariwisata</t>
  </si>
  <si>
    <t>Capaian pengembangan ekonomi kreatif pariwisata</t>
  </si>
  <si>
    <t>Kegiatan Promosi dan Kerjasama Pariwisata</t>
  </si>
  <si>
    <t>Kegiatan Pengembangan Ekonomi Kreatif</t>
  </si>
  <si>
    <t>Program pengembangan destinasi pariwisata</t>
  </si>
  <si>
    <t>Capaian pengembangan Pokdarwis (Kelompok sadar wisata) (%)</t>
  </si>
  <si>
    <t>Capaian destinasi/objek pariwisata kategori Baik menurut sapta pesona wisata (%)</t>
  </si>
  <si>
    <t>Capaian pembinaan dan fasilitasi usaha jasa wisata (%)</t>
  </si>
  <si>
    <t>Capaian pembinaan Sumber Daya Pariwisata (%)</t>
  </si>
  <si>
    <t>Capaian pengembangan destinasi/ objek baru pariwisata (%)</t>
  </si>
  <si>
    <t>Peningkatan pembangunan sarana dan prasarana pariwisata</t>
  </si>
  <si>
    <t>Terwujudnya Pengembangan objek pariwisata unggulan (Kgt)</t>
  </si>
  <si>
    <t>Terlaksananya Pengembangan daerah tujuan wisata (Desa)</t>
  </si>
  <si>
    <t>Terpenuhinya peningkatan sarana dan prasarana pariwisata (Pkt)</t>
  </si>
  <si>
    <t>Terlaksananya Pembinaan sumber daya pariwisata (Kgt)</t>
  </si>
  <si>
    <t>Program Kepemudaan</t>
  </si>
  <si>
    <t>Cacpaian OKP Mandiri (%)</t>
  </si>
  <si>
    <t>Capaian Prestasi Propinsi Pemuda Pelopor (%)</t>
  </si>
  <si>
    <t>Persentase pemuda yang terbina (%)</t>
  </si>
  <si>
    <t>Capaian wirausaha muda (%)</t>
  </si>
  <si>
    <t xml:space="preserve">Pengembangan Kewirausahaan pemuda
</t>
  </si>
  <si>
    <t>Program Keolahragaan</t>
  </si>
  <si>
    <t xml:space="preserve">Capaian Pusat Pendidikan dan Pelatihan Pelajar Daerah </t>
  </si>
  <si>
    <t xml:space="preserve">Capaian pemasyarakatan olah raga </t>
  </si>
  <si>
    <t>Capaian pemenuhan sarana prasarana olah raga</t>
  </si>
  <si>
    <t>Pemagaran Lingkungan Stadion (DAK FISIK)</t>
  </si>
  <si>
    <t>Pembangunan Gapura Lingkungan Stadion (DAK FISIK)</t>
  </si>
  <si>
    <t xml:space="preserve">Target Renstra OPD pada Tahun 2023 (Akhir Periode Renstra OPD) </t>
  </si>
  <si>
    <t>Realisasi Capaian Kinerja Renstra OPD Tahun Lalu (2018) (Baseline)</t>
  </si>
  <si>
    <t>Realisasi Capaian Kinerja dan Anggaran Renja SKPD yang dievaluasi (Tahun 2019)</t>
  </si>
  <si>
    <t>Tingkat Capaian Kinerja dan Realisasi Anggaran Renja OPD 2019 (%)</t>
  </si>
  <si>
    <t>Capaian Kinerja dan Anggaran Renstra OPD s/d Tahun 2023 (Akhir Pelaksanaan Renstra 2019-2023) (%)</t>
  </si>
  <si>
    <t>Penanggung Jawab</t>
  </si>
  <si>
    <t>Target Kinerja dan Anggaran Renja Tahun Berjalan yang Dievaluasi (2019)</t>
  </si>
  <si>
    <t>Pembinaan Organisasi Kepemudaan (Kgt)</t>
  </si>
  <si>
    <t>Peringatan Hari Besar Nasional (Kgt)</t>
  </si>
  <si>
    <t>Pembinaan pemuda pelopor pembangunan (Kgt)</t>
  </si>
  <si>
    <t>Pengembangan Kewirausahaan pemuda (Kgt)</t>
  </si>
  <si>
    <t>Pengkajian kebijakan-kebijakan pembangunan olahraga (Dok)</t>
  </si>
  <si>
    <t>Kemitraan pemerintah dan masyarakat dalam pembangunan dan pengembangan industri olahraga (Kgt)</t>
  </si>
  <si>
    <t>Pelaksanaan Pusat pendidikan dan Latihan pelajar daerah (Kgt)</t>
  </si>
  <si>
    <t>Pembinaan Keolahragaan Daerah (Kgt)</t>
  </si>
  <si>
    <t>Pengembangan olahraga rekreasi (Kgt)</t>
  </si>
  <si>
    <t>Pengembangan dan Pemberdayaan olahraga di masyarakat (Kgt)</t>
  </si>
  <si>
    <t>Pemeliharaan rutin/berkala sarana dan prasarana olah raga (Unit)</t>
  </si>
  <si>
    <t>Pembinaan 
Organisasi Kepemudaan</t>
  </si>
  <si>
    <t>Realisasi Capaian Kinerja dan Anggaran Renstra OPD s/d Tahun 2023 (Akhir Pelaksanaan Renstra 2019-2023) (%)</t>
  </si>
  <si>
    <t>Koordinasi dengan sektor pendukung pariwisata (Kgt)</t>
  </si>
  <si>
    <t>Pelaksanaan promosi pariwisata di dalam dan di luar negeri (Kgt)</t>
  </si>
  <si>
    <t>Pengembangan atraksi pariwisata (Kgt)</t>
  </si>
  <si>
    <t>Pengembangan Ekonomi Kreatif Pariwisata (Kgt)</t>
  </si>
  <si>
    <r>
      <t xml:space="preserve">Serang,   </t>
    </r>
    <r>
      <rPr>
        <sz val="26"/>
        <color theme="0"/>
        <rFont val="Calibri"/>
        <family val="2"/>
        <scheme val="minor"/>
      </rPr>
      <t xml:space="preserve">11 Januari </t>
    </r>
    <r>
      <rPr>
        <sz val="26"/>
        <color theme="1"/>
        <rFont val="Calibri"/>
        <family val="2"/>
        <scheme val="minor"/>
      </rPr>
      <t>2019</t>
    </r>
  </si>
  <si>
    <t>SATUAN</t>
  </si>
  <si>
    <t>%</t>
  </si>
  <si>
    <t>Bulan</t>
  </si>
  <si>
    <t>Unit</t>
  </si>
  <si>
    <t>Gedung</t>
  </si>
  <si>
    <t>Kegiatan</t>
  </si>
  <si>
    <t>Dokumen</t>
  </si>
  <si>
    <t>Desa</t>
  </si>
  <si>
    <t>Paket</t>
  </si>
  <si>
    <t>2002.01</t>
  </si>
  <si>
    <t>2002.200201.01.001</t>
  </si>
  <si>
    <t>2002.200201.01.002</t>
  </si>
  <si>
    <t>2002.200201.01.003</t>
  </si>
  <si>
    <t>2002.200201.01.010</t>
  </si>
  <si>
    <t>2002.200201.01.011</t>
  </si>
  <si>
    <t>2002.200201.01.012</t>
  </si>
  <si>
    <t>2002.200201.01.013</t>
  </si>
  <si>
    <t>2002.200201.02.001</t>
  </si>
  <si>
    <t>2002.200201.02.002</t>
  </si>
  <si>
    <t>2002.03</t>
  </si>
  <si>
    <t>2002.200201.03.001</t>
  </si>
  <si>
    <t>2002.200201.03.002</t>
  </si>
  <si>
    <t>2002.200201.03.005</t>
  </si>
  <si>
    <t>2002.200201.03.003</t>
  </si>
  <si>
    <t>2002.200201.03.004</t>
  </si>
  <si>
    <t>2002.11</t>
  </si>
  <si>
    <t>2002.200201.11.001</t>
  </si>
  <si>
    <t>2002.200201.11.002</t>
  </si>
  <si>
    <t>Kegiatan Pengembangan Atraksi Pariwisata</t>
  </si>
  <si>
    <t>2002.200201.11.003</t>
  </si>
  <si>
    <t>2002.12</t>
  </si>
  <si>
    <t>2002.200201.12.001</t>
  </si>
  <si>
    <t>2002.200201.12.003</t>
  </si>
  <si>
    <t>2002.200201.12.004</t>
  </si>
  <si>
    <t>1213.11</t>
  </si>
  <si>
    <t>1213.200201.11.001</t>
  </si>
  <si>
    <t>1213.200201.11.002</t>
  </si>
  <si>
    <t>1213.200201.11.003</t>
  </si>
  <si>
    <t>Penyelenggaraan Event Olahraga</t>
  </si>
  <si>
    <t>1213.12</t>
  </si>
  <si>
    <t>1213.200201.12.001</t>
  </si>
  <si>
    <t>Pembinaan Atlet dan Pelatih</t>
  </si>
  <si>
    <t>1213.200201.12.002</t>
  </si>
  <si>
    <t>Pemberdayaan dan Pemasyarakatan Olahraga</t>
  </si>
  <si>
    <t>1213.200201.12.003</t>
  </si>
  <si>
    <t>1213.200201.12.004</t>
  </si>
  <si>
    <t>NON URUSAN</t>
  </si>
  <si>
    <t>19  = 11+13+15+17</t>
  </si>
  <si>
    <t>23 =19</t>
  </si>
  <si>
    <t>24 =20</t>
  </si>
  <si>
    <t>20 = 12+14+16+18</t>
  </si>
  <si>
    <t>21 = 19/9*100</t>
  </si>
  <si>
    <t>22 = 20/10*100</t>
  </si>
  <si>
    <t>25 = 23/5*100</t>
  </si>
  <si>
    <t>26 = 24/6*100</t>
  </si>
  <si>
    <t>Indeks Kepuasan Pelayanan Kesekretariatan</t>
  </si>
  <si>
    <t>Presentase sarana dan prasarana kantor dalam kondisi baik</t>
  </si>
  <si>
    <t>Tingkat disiplin Aparatur</t>
  </si>
  <si>
    <t>Tingkat ketersediaan Dokumen Pengelolaan Barang Milik Daerah</t>
  </si>
  <si>
    <t>SEKRETARIS</t>
  </si>
  <si>
    <t>Capaian Rata-rata Kinerja Kegiatan</t>
  </si>
  <si>
    <t>RATA RATA CAPAIAN KINERJA KEGIATAN NON URUSAN</t>
  </si>
  <si>
    <t>JUMLAH &amp; RATA RATA CAPAIAN KINERJA PROGRAM NON URUSAN</t>
  </si>
  <si>
    <t>RATA RATA CAPAIAN KINERJA KEGIATAN URUSAN PARIWISATA</t>
  </si>
  <si>
    <t>JUMLAH &amp; RATA RATA CAPAIAN KINERJA PROGRAM URUSAN PARIWISATA</t>
  </si>
  <si>
    <t>RATA RATA CAPAIAN KINERJA KEGIATAN URUSAN PEMUDA DAN OLAHRAGA</t>
  </si>
  <si>
    <t>JUMLAH &amp; RATA RATA CAPAIAN KINERJA PROGRAM URUSAN PEMUDA DAN OLAHRAGA</t>
  </si>
  <si>
    <t>RATA RATA CAPAIAN KINERJA KEGIATAN OPD</t>
  </si>
  <si>
    <t>JUMLAH ANGGRAN DAN REALISASI SELURUH PROGRAM</t>
  </si>
  <si>
    <t>TOTAL RATA RATA KINERJA DAN ANGGARAN DARI SELURUH PROGRAM OPD</t>
  </si>
  <si>
    <t>PREDIKAT KINERJA PROGRAM</t>
  </si>
  <si>
    <t>KABID PROMOSI PARIWISATA</t>
  </si>
  <si>
    <t>KABID DESTINASI PARIWISATA</t>
  </si>
  <si>
    <t>KABID KEPEMUDAAN</t>
  </si>
  <si>
    <t>KABID OLAHRAGA</t>
  </si>
  <si>
    <t>URUSAN PARIWISATA</t>
  </si>
  <si>
    <t>URUSAN PEMUDA DAN OLAHRAGA</t>
  </si>
  <si>
    <t>NIP. NIP. 19610429 197912 1 001</t>
  </si>
  <si>
    <t>Pembinaan Minat 
Bakat Pemuda</t>
  </si>
  <si>
    <t>Drs. H. AKHMAD ZUBAIDILLAH, M.Si</t>
  </si>
  <si>
    <t>Drs. H. NANANG SAEFUDIN, M.Si</t>
  </si>
  <si>
    <t>NIP. 19670802 198603 1 003</t>
  </si>
  <si>
    <t>Cakupan pembinaan atet muda</t>
  </si>
  <si>
    <t xml:space="preserve">Cakupan pelatih yang bersertifikasi </t>
  </si>
  <si>
    <t>Capaian pembinaan Organisasi Olahraga</t>
  </si>
  <si>
    <t>2002.200201.11.004</t>
  </si>
  <si>
    <t>Sosialisasi Peningkatan SDM Kepariwisataan (DAK NON FISIK)</t>
  </si>
  <si>
    <t>2002.200201.11.005</t>
  </si>
  <si>
    <t>2002.200201.11.006</t>
  </si>
  <si>
    <t>Bimbingan Teknis SDM Kepariwisataan (DAK NON FISIK)</t>
  </si>
  <si>
    <t>Sertifikasi SDM Kepariwisataan (DAK NON FISIK)</t>
  </si>
  <si>
    <t>-</t>
  </si>
  <si>
    <t>Serang,   Juli 2019</t>
  </si>
  <si>
    <t>Target Capaian Kinerja Renstra Tahun 2018-2023 (Tahun Akhir Periode Renstra)</t>
  </si>
  <si>
    <t xml:space="preserve">
Realisasi Target Kinerja Hasil Program dan Keluaran Kegiatan Tahun 2018
</t>
  </si>
  <si>
    <t xml:space="preserve">
Target Kinerja Renja Tahun 2019
</t>
  </si>
  <si>
    <t>Realisasi Kinerja Program dan  Kegiatan s/d Triwulan II Tahun 2019</t>
  </si>
  <si>
    <t xml:space="preserve">
Realisasi Kinerja
Renja
</t>
  </si>
  <si>
    <t>Realisasi Tingkat Capaian Kinerja  (%)</t>
  </si>
  <si>
    <t>Capaian Target Renstra  s/d  Triwulan II Tahun 2019</t>
  </si>
  <si>
    <t>EVALUASI HASIL RENJA PERANGKAT DAERAH TAHUN 2019 SAMPAI DENGAN TRIWULAN II
KOTA SERANG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</si>
</sst>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??_);_(@_)"/>
    <numFmt numFmtId="166" formatCode="_(* #,##0.00_);_(* \(#,##0.00\);_(* &quot;-&quot;_);_(@_)"/>
    <numFmt numFmtId="167" formatCode="[$-421]dd\ mmmm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sz val="16"/>
      <color rgb="FFFF000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1">
    <xf numFmtId="0" fontId="0" fillId="0" borderId="0" xfId="0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166" fontId="6" fillId="0" borderId="10" xfId="0" applyNumberFormat="1" applyFont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7" fillId="3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167" fontId="12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41" fontId="7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3" borderId="10" xfId="0" quotePrefix="1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top" wrapText="1"/>
    </xf>
    <xf numFmtId="0" fontId="18" fillId="5" borderId="10" xfId="0" applyFont="1" applyFill="1" applyBorder="1" applyAlignment="1">
      <alignment horizontal="left" vertical="center" wrapText="1"/>
    </xf>
    <xf numFmtId="3" fontId="18" fillId="5" borderId="10" xfId="7" applyNumberFormat="1" applyFont="1" applyFill="1" applyBorder="1" applyAlignment="1">
      <alignment horizontal="left" vertical="center" wrapText="1"/>
    </xf>
    <xf numFmtId="165" fontId="18" fillId="0" borderId="10" xfId="1" applyNumberFormat="1" applyFont="1" applyBorder="1" applyAlignment="1">
      <alignment horizontal="left" vertical="center" wrapText="1"/>
    </xf>
    <xf numFmtId="41" fontId="18" fillId="0" borderId="10" xfId="2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41" fontId="18" fillId="0" borderId="10" xfId="2" applyNumberFormat="1" applyFont="1" applyBorder="1" applyAlignment="1">
      <alignment horizontal="left" vertical="top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0" applyNumberFormat="1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3" fontId="18" fillId="0" borderId="10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4" applyFont="1" applyBorder="1" applyAlignment="1">
      <alignment horizontal="left" vertical="center" wrapText="1"/>
    </xf>
    <xf numFmtId="41" fontId="18" fillId="0" borderId="10" xfId="3" applyNumberFormat="1" applyFont="1" applyBorder="1" applyAlignment="1">
      <alignment horizontal="left" vertical="top"/>
    </xf>
    <xf numFmtId="0" fontId="18" fillId="5" borderId="7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10" xfId="4" applyFont="1" applyBorder="1" applyAlignment="1">
      <alignment horizontal="left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vertical="center" wrapText="1"/>
    </xf>
    <xf numFmtId="2" fontId="18" fillId="3" borderId="10" xfId="0" applyNumberFormat="1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2" fontId="18" fillId="3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18" fillId="0" borderId="10" xfId="7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4" applyFont="1" applyBorder="1" applyAlignment="1">
      <alignment vertical="center" wrapText="1"/>
    </xf>
    <xf numFmtId="0" fontId="18" fillId="0" borderId="11" xfId="4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41" fontId="18" fillId="0" borderId="10" xfId="2" applyNumberFormat="1" applyFont="1" applyBorder="1" applyAlignment="1">
      <alignment horizontal="center" vertical="center"/>
    </xf>
    <xf numFmtId="0" fontId="18" fillId="0" borderId="7" xfId="4" applyFont="1" applyBorder="1" applyAlignment="1">
      <alignment vertical="center" wrapText="1"/>
    </xf>
    <xf numFmtId="0" fontId="18" fillId="0" borderId="10" xfId="4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65" fontId="18" fillId="0" borderId="10" xfId="1" applyNumberFormat="1" applyFont="1" applyBorder="1" applyAlignment="1">
      <alignment vertical="center" wrapText="1"/>
    </xf>
    <xf numFmtId="41" fontId="18" fillId="0" borderId="10" xfId="2" applyNumberFormat="1" applyFont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165" fontId="21" fillId="0" borderId="13" xfId="1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2" applyNumberFormat="1" applyFont="1" applyBorder="1" applyAlignment="1">
      <alignment horizontal="center" vertical="center"/>
    </xf>
    <xf numFmtId="0" fontId="18" fillId="0" borderId="10" xfId="1" applyNumberFormat="1" applyFont="1" applyBorder="1" applyAlignment="1">
      <alignment horizontal="center" vertical="center"/>
    </xf>
    <xf numFmtId="43" fontId="18" fillId="3" borderId="10" xfId="1" applyFont="1" applyFill="1" applyBorder="1" applyAlignment="1">
      <alignment horizontal="left" vertical="center"/>
    </xf>
    <xf numFmtId="43" fontId="18" fillId="0" borderId="10" xfId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8" fillId="6" borderId="10" xfId="0" applyFont="1" applyFill="1" applyBorder="1" applyAlignment="1">
      <alignment vertical="center" wrapText="1"/>
    </xf>
    <xf numFmtId="0" fontId="18" fillId="6" borderId="10" xfId="0" applyFont="1" applyFill="1" applyBorder="1" applyAlignment="1">
      <alignment horizontal="center" vertical="center" wrapText="1"/>
    </xf>
    <xf numFmtId="3" fontId="18" fillId="6" borderId="10" xfId="7" applyNumberFormat="1" applyFont="1" applyFill="1" applyBorder="1" applyAlignment="1">
      <alignment horizontal="center" vertical="center" wrapText="1"/>
    </xf>
    <xf numFmtId="41" fontId="17" fillId="7" borderId="10" xfId="1" applyNumberFormat="1" applyFont="1" applyFill="1" applyBorder="1" applyAlignment="1">
      <alignment horizontal="center" vertical="center"/>
    </xf>
    <xf numFmtId="41" fontId="17" fillId="7" borderId="10" xfId="1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/>
    </xf>
    <xf numFmtId="3" fontId="17" fillId="3" borderId="10" xfId="0" applyNumberFormat="1" applyFont="1" applyFill="1" applyBorder="1" applyAlignment="1">
      <alignment horizontal="left" vertical="center" wrapText="1"/>
    </xf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vertical="top" wrapText="1"/>
    </xf>
    <xf numFmtId="3" fontId="17" fillId="7" borderId="10" xfId="7" applyNumberFormat="1" applyFont="1" applyFill="1" applyBorder="1" applyAlignment="1">
      <alignment horizontal="center" vertical="center" wrapText="1"/>
    </xf>
    <xf numFmtId="2" fontId="17" fillId="7" borderId="10" xfId="0" applyNumberFormat="1" applyFont="1" applyFill="1" applyBorder="1" applyAlignment="1">
      <alignment horizontal="left" vertical="center" wrapText="1"/>
    </xf>
    <xf numFmtId="2" fontId="17" fillId="7" borderId="10" xfId="0" applyNumberFormat="1" applyFont="1" applyFill="1" applyBorder="1" applyAlignment="1">
      <alignment horizontal="left" vertical="center"/>
    </xf>
    <xf numFmtId="1" fontId="17" fillId="7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left" vertical="center"/>
    </xf>
    <xf numFmtId="0" fontId="19" fillId="8" borderId="0" xfId="0" applyFont="1" applyFill="1" applyAlignment="1">
      <alignment vertical="top" wrapText="1"/>
    </xf>
    <xf numFmtId="0" fontId="17" fillId="7" borderId="10" xfId="0" quotePrefix="1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vertical="center" wrapText="1"/>
    </xf>
    <xf numFmtId="0" fontId="16" fillId="7" borderId="0" xfId="0" applyFont="1" applyFill="1" applyAlignment="1">
      <alignment vertical="center" wrapText="1"/>
    </xf>
    <xf numFmtId="0" fontId="16" fillId="7" borderId="0" xfId="0" applyFont="1" applyFill="1" applyAlignment="1">
      <alignment vertical="top" wrapText="1"/>
    </xf>
    <xf numFmtId="2" fontId="17" fillId="3" borderId="10" xfId="0" applyNumberFormat="1" applyFont="1" applyFill="1" applyBorder="1" applyAlignment="1">
      <alignment horizontal="left" vertical="center" wrapText="1"/>
    </xf>
    <xf numFmtId="2" fontId="17" fillId="3" borderId="10" xfId="0" applyNumberFormat="1" applyFont="1" applyFill="1" applyBorder="1" applyAlignment="1">
      <alignment horizontal="left" vertical="center"/>
    </xf>
    <xf numFmtId="165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/>
    </xf>
    <xf numFmtId="3" fontId="18" fillId="0" borderId="10" xfId="0" applyNumberFormat="1" applyFont="1" applyFill="1" applyBorder="1" applyAlignment="1">
      <alignment horizontal="left" vertical="center"/>
    </xf>
    <xf numFmtId="0" fontId="17" fillId="9" borderId="10" xfId="0" applyFont="1" applyFill="1" applyBorder="1" applyAlignment="1">
      <alignment horizontal="right" vertical="center" wrapText="1"/>
    </xf>
    <xf numFmtId="2" fontId="17" fillId="9" borderId="10" xfId="0" applyNumberFormat="1" applyFont="1" applyFill="1" applyBorder="1" applyAlignment="1">
      <alignment horizontal="left" vertical="center" wrapText="1"/>
    </xf>
    <xf numFmtId="3" fontId="17" fillId="9" borderId="10" xfId="0" applyNumberFormat="1" applyFont="1" applyFill="1" applyBorder="1" applyAlignment="1">
      <alignment horizontal="left" vertical="center" wrapText="1"/>
    </xf>
    <xf numFmtId="2" fontId="17" fillId="9" borderId="10" xfId="0" applyNumberFormat="1" applyFont="1" applyFill="1" applyBorder="1" applyAlignment="1">
      <alignment horizontal="left" vertical="center"/>
    </xf>
    <xf numFmtId="3" fontId="17" fillId="9" borderId="10" xfId="0" applyNumberFormat="1" applyFont="1" applyFill="1" applyBorder="1" applyAlignment="1">
      <alignment horizontal="right" vertical="center" wrapText="1"/>
    </xf>
    <xf numFmtId="41" fontId="17" fillId="9" borderId="10" xfId="0" applyNumberFormat="1" applyFont="1" applyFill="1" applyBorder="1" applyAlignment="1">
      <alignment horizontal="right" vertical="center" wrapText="1"/>
    </xf>
    <xf numFmtId="1" fontId="17" fillId="7" borderId="10" xfId="0" applyNumberFormat="1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7" fillId="7" borderId="4" xfId="0" quotePrefix="1" applyFont="1" applyFill="1" applyBorder="1" applyAlignment="1">
      <alignment horizontal="left" vertical="center" wrapText="1"/>
    </xf>
    <xf numFmtId="3" fontId="17" fillId="7" borderId="10" xfId="8" applyNumberFormat="1" applyFont="1" applyFill="1" applyBorder="1" applyAlignment="1">
      <alignment vertical="center" wrapText="1"/>
    </xf>
    <xf numFmtId="0" fontId="17" fillId="7" borderId="10" xfId="7" applyNumberFormat="1" applyFont="1" applyFill="1" applyBorder="1" applyAlignment="1">
      <alignment vertical="center" wrapText="1"/>
    </xf>
    <xf numFmtId="1" fontId="17" fillId="3" borderId="10" xfId="0" applyNumberFormat="1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6" fillId="7" borderId="4" xfId="0" quotePrefix="1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center" wrapText="1"/>
    </xf>
    <xf numFmtId="0" fontId="16" fillId="7" borderId="10" xfId="0" applyFont="1" applyFill="1" applyBorder="1" applyAlignment="1">
      <alignment horizontal="left" vertical="center" wrapText="1"/>
    </xf>
    <xf numFmtId="3" fontId="16" fillId="7" borderId="10" xfId="0" applyNumberFormat="1" applyFont="1" applyFill="1" applyBorder="1" applyAlignment="1">
      <alignment horizontal="center" vertical="center" wrapText="1"/>
    </xf>
    <xf numFmtId="0" fontId="16" fillId="7" borderId="10" xfId="7" applyNumberFormat="1" applyFont="1" applyFill="1" applyBorder="1" applyAlignment="1">
      <alignment horizontal="center" vertical="center" wrapText="1"/>
    </xf>
    <xf numFmtId="3" fontId="16" fillId="7" borderId="10" xfId="7" applyNumberFormat="1" applyFont="1" applyFill="1" applyBorder="1" applyAlignment="1">
      <alignment horizontal="center" vertical="center" wrapText="1"/>
    </xf>
    <xf numFmtId="1" fontId="16" fillId="7" borderId="10" xfId="0" applyNumberFormat="1" applyFont="1" applyFill="1" applyBorder="1" applyAlignment="1">
      <alignment horizontal="left" vertical="center" wrapText="1"/>
    </xf>
    <xf numFmtId="1" fontId="16" fillId="7" borderId="10" xfId="0" applyNumberFormat="1" applyFont="1" applyFill="1" applyBorder="1" applyAlignment="1">
      <alignment horizontal="left" vertical="center"/>
    </xf>
    <xf numFmtId="41" fontId="18" fillId="0" borderId="10" xfId="0" applyNumberFormat="1" applyFont="1" applyBorder="1" applyAlignment="1">
      <alignment horizontal="left" vertical="center" wrapText="1"/>
    </xf>
    <xf numFmtId="41" fontId="17" fillId="7" borderId="10" xfId="0" applyNumberFormat="1" applyFont="1" applyFill="1" applyBorder="1" applyAlignment="1">
      <alignment horizontal="center" vertical="center" wrapText="1"/>
    </xf>
    <xf numFmtId="0" fontId="17" fillId="7" borderId="10" xfId="7" applyNumberFormat="1" applyFont="1" applyFill="1" applyBorder="1" applyAlignment="1">
      <alignment horizontal="center" vertical="center" wrapText="1"/>
    </xf>
    <xf numFmtId="41" fontId="17" fillId="7" borderId="10" xfId="0" applyNumberFormat="1" applyFont="1" applyFill="1" applyBorder="1" applyAlignment="1">
      <alignment horizontal="left" vertical="center" wrapText="1"/>
    </xf>
    <xf numFmtId="41" fontId="17" fillId="7" borderId="10" xfId="0" applyNumberFormat="1" applyFont="1" applyFill="1" applyBorder="1" applyAlignment="1">
      <alignment horizontal="left" vertical="center"/>
    </xf>
    <xf numFmtId="41" fontId="18" fillId="7" borderId="10" xfId="0" applyNumberFormat="1" applyFont="1" applyFill="1" applyBorder="1" applyAlignment="1">
      <alignment horizontal="left" vertical="center"/>
    </xf>
    <xf numFmtId="0" fontId="18" fillId="0" borderId="7" xfId="4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center" vertical="center" wrapText="1"/>
    </xf>
    <xf numFmtId="2" fontId="17" fillId="3" borderId="10" xfId="0" applyNumberFormat="1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vertical="center" wrapText="1"/>
    </xf>
    <xf numFmtId="0" fontId="19" fillId="7" borderId="0" xfId="0" applyFont="1" applyFill="1" applyAlignment="1">
      <alignment vertical="center" wrapText="1"/>
    </xf>
    <xf numFmtId="0" fontId="19" fillId="7" borderId="0" xfId="0" applyFont="1" applyFill="1" applyAlignment="1">
      <alignment vertical="top" wrapText="1"/>
    </xf>
    <xf numFmtId="41" fontId="18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1" fontId="17" fillId="9" borderId="10" xfId="0" applyNumberFormat="1" applyFont="1" applyFill="1" applyBorder="1" applyAlignment="1">
      <alignment horizontal="left" vertical="center" wrapText="1"/>
    </xf>
    <xf numFmtId="165" fontId="17" fillId="9" borderId="10" xfId="0" applyNumberFormat="1" applyFont="1" applyFill="1" applyBorder="1" applyAlignment="1">
      <alignment horizontal="right" vertical="center" wrapText="1"/>
    </xf>
    <xf numFmtId="0" fontId="19" fillId="9" borderId="10" xfId="0" applyFont="1" applyFill="1" applyBorder="1" applyAlignment="1">
      <alignment horizontal="left" vertical="center"/>
    </xf>
    <xf numFmtId="0" fontId="19" fillId="9" borderId="0" xfId="0" applyFont="1" applyFill="1" applyAlignment="1">
      <alignment horizontal="left" vertical="center"/>
    </xf>
    <xf numFmtId="0" fontId="19" fillId="9" borderId="0" xfId="0" applyFont="1" applyFill="1" applyAlignment="1">
      <alignment horizontal="left" vertical="top"/>
    </xf>
    <xf numFmtId="2" fontId="17" fillId="3" borderId="10" xfId="0" applyNumberFormat="1" applyFont="1" applyFill="1" applyBorder="1" applyAlignment="1">
      <alignment horizontal="center" vertical="center" wrapText="1"/>
    </xf>
    <xf numFmtId="3" fontId="17" fillId="3" borderId="10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top"/>
    </xf>
    <xf numFmtId="2" fontId="17" fillId="9" borderId="10" xfId="0" applyNumberFormat="1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2" fontId="17" fillId="9" borderId="10" xfId="0" applyNumberFormat="1" applyFont="1" applyFill="1" applyBorder="1" applyAlignment="1">
      <alignment horizontal="center" vertical="center"/>
    </xf>
    <xf numFmtId="3" fontId="17" fillId="9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horizontal="right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1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165" fontId="16" fillId="0" borderId="10" xfId="0" applyNumberFormat="1" applyFont="1" applyBorder="1" applyAlignment="1">
      <alignment horizontal="right" vertical="center" wrapText="1"/>
    </xf>
    <xf numFmtId="0" fontId="16" fillId="2" borderId="4" xfId="0" applyFont="1" applyFill="1" applyBorder="1" applyAlignment="1">
      <alignment vertical="center" wrapText="1"/>
    </xf>
    <xf numFmtId="0" fontId="16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6" fillId="10" borderId="10" xfId="0" applyFont="1" applyFill="1" applyBorder="1" applyAlignment="1">
      <alignment horizontal="right" vertical="center" wrapText="1"/>
    </xf>
    <xf numFmtId="165" fontId="16" fillId="10" borderId="10" xfId="0" applyNumberFormat="1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vertical="center" wrapText="1"/>
    </xf>
    <xf numFmtId="41" fontId="16" fillId="10" borderId="10" xfId="0" applyNumberFormat="1" applyFont="1" applyFill="1" applyBorder="1" applyAlignment="1">
      <alignment horizontal="right" vertical="center" wrapText="1"/>
    </xf>
    <xf numFmtId="166" fontId="16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top" wrapText="1"/>
    </xf>
    <xf numFmtId="165" fontId="7" fillId="0" borderId="0" xfId="0" applyNumberFormat="1" applyFont="1"/>
    <xf numFmtId="166" fontId="17" fillId="7" borderId="10" xfId="0" applyNumberFormat="1" applyFont="1" applyFill="1" applyBorder="1" applyAlignment="1">
      <alignment horizontal="center" vertical="center" wrapText="1"/>
    </xf>
    <xf numFmtId="41" fontId="16" fillId="7" borderId="10" xfId="0" applyNumberFormat="1" applyFont="1" applyFill="1" applyBorder="1" applyAlignment="1">
      <alignment horizontal="center" vertical="center" wrapText="1"/>
    </xf>
    <xf numFmtId="3" fontId="17" fillId="7" borderId="7" xfId="7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7" fillId="0" borderId="0" xfId="0" applyNumberFormat="1" applyFont="1" applyAlignment="1">
      <alignment horizontal="center" wrapText="1"/>
    </xf>
    <xf numFmtId="0" fontId="17" fillId="7" borderId="4" xfId="0" applyFont="1" applyFill="1" applyBorder="1" applyAlignment="1">
      <alignment vertical="center" wrapText="1"/>
    </xf>
    <xf numFmtId="3" fontId="17" fillId="7" borderId="1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wrapText="1"/>
    </xf>
    <xf numFmtId="3" fontId="18" fillId="0" borderId="10" xfId="7" quotePrefix="1" applyNumberFormat="1" applyFont="1" applyFill="1" applyBorder="1" applyAlignment="1">
      <alignment horizontal="left" vertical="center" wrapText="1"/>
    </xf>
    <xf numFmtId="3" fontId="18" fillId="0" borderId="10" xfId="7" quotePrefix="1" applyNumberFormat="1" applyFont="1" applyFill="1" applyBorder="1" applyAlignment="1">
      <alignment horizontal="right" vertical="center" wrapText="1"/>
    </xf>
    <xf numFmtId="3" fontId="17" fillId="7" borderId="7" xfId="7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7" xfId="4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7" fillId="7" borderId="7" xfId="0" applyFont="1" applyFill="1" applyBorder="1" applyAlignment="1">
      <alignment horizontal="center" vertical="center" wrapText="1"/>
    </xf>
    <xf numFmtId="41" fontId="17" fillId="7" borderId="1" xfId="0" applyNumberFormat="1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/>
    </xf>
    <xf numFmtId="2" fontId="17" fillId="7" borderId="11" xfId="0" applyNumberFormat="1" applyFont="1" applyFill="1" applyBorder="1" applyAlignment="1">
      <alignment horizontal="center" vertical="center"/>
    </xf>
    <xf numFmtId="2" fontId="17" fillId="7" borderId="7" xfId="0" applyNumberFormat="1" applyFont="1" applyFill="1" applyBorder="1" applyAlignment="1">
      <alignment horizontal="center" vertical="center"/>
    </xf>
    <xf numFmtId="165" fontId="17" fillId="7" borderId="1" xfId="0" applyNumberFormat="1" applyFont="1" applyFill="1" applyBorder="1" applyAlignment="1">
      <alignment horizontal="center" vertical="center" wrapText="1"/>
    </xf>
    <xf numFmtId="165" fontId="17" fillId="7" borderId="11" xfId="0" applyNumberFormat="1" applyFont="1" applyFill="1" applyBorder="1" applyAlignment="1">
      <alignment horizontal="center" vertical="center" wrapText="1"/>
    </xf>
    <xf numFmtId="165" fontId="17" fillId="7" borderId="7" xfId="0" applyNumberFormat="1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/>
    </xf>
    <xf numFmtId="2" fontId="16" fillId="7" borderId="11" xfId="0" applyNumberFormat="1" applyFont="1" applyFill="1" applyBorder="1" applyAlignment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 wrapText="1"/>
    </xf>
    <xf numFmtId="165" fontId="16" fillId="7" borderId="11" xfId="0" applyNumberFormat="1" applyFont="1" applyFill="1" applyBorder="1" applyAlignment="1">
      <alignment horizontal="center" vertical="center" wrapText="1"/>
    </xf>
    <xf numFmtId="165" fontId="16" fillId="7" borderId="7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41" fontId="17" fillId="7" borderId="1" xfId="1" applyNumberFormat="1" applyFont="1" applyFill="1" applyBorder="1" applyAlignment="1">
      <alignment horizontal="center" vertical="center"/>
    </xf>
    <xf numFmtId="41" fontId="17" fillId="7" borderId="11" xfId="1" applyNumberFormat="1" applyFont="1" applyFill="1" applyBorder="1" applyAlignment="1">
      <alignment horizontal="center" vertical="center"/>
    </xf>
    <xf numFmtId="41" fontId="17" fillId="7" borderId="7" xfId="1" applyNumberFormat="1" applyFont="1" applyFill="1" applyBorder="1" applyAlignment="1">
      <alignment horizontal="center" vertical="center"/>
    </xf>
    <xf numFmtId="43" fontId="17" fillId="7" borderId="1" xfId="0" applyNumberFormat="1" applyFont="1" applyFill="1" applyBorder="1" applyAlignment="1">
      <alignment horizontal="center" vertical="center" wrapText="1"/>
    </xf>
    <xf numFmtId="43" fontId="17" fillId="7" borderId="7" xfId="0" applyNumberFormat="1" applyFont="1" applyFill="1" applyBorder="1" applyAlignment="1">
      <alignment horizontal="center" vertical="center" wrapText="1"/>
    </xf>
    <xf numFmtId="41" fontId="17" fillId="7" borderId="7" xfId="0" applyNumberFormat="1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left" vertical="center"/>
    </xf>
    <xf numFmtId="2" fontId="17" fillId="7" borderId="7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22" fillId="9" borderId="10" xfId="0" applyFont="1" applyFill="1" applyBorder="1" applyAlignment="1">
      <alignment horizontal="right" vertical="center" wrapText="1"/>
    </xf>
    <xf numFmtId="0" fontId="22" fillId="9" borderId="4" xfId="0" applyFont="1" applyFill="1" applyBorder="1" applyAlignment="1">
      <alignment horizontal="right" vertical="center" wrapText="1"/>
    </xf>
    <xf numFmtId="0" fontId="22" fillId="9" borderId="5" xfId="0" applyFont="1" applyFill="1" applyBorder="1" applyAlignment="1">
      <alignment horizontal="right" vertical="center" wrapText="1"/>
    </xf>
    <xf numFmtId="0" fontId="22" fillId="9" borderId="6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2" fontId="17" fillId="7" borderId="2" xfId="0" applyNumberFormat="1" applyFont="1" applyFill="1" applyBorder="1" applyAlignment="1">
      <alignment horizontal="center" vertical="center" wrapText="1"/>
    </xf>
    <xf numFmtId="2" fontId="17" fillId="7" borderId="3" xfId="0" applyNumberFormat="1" applyFont="1" applyFill="1" applyBorder="1" applyAlignment="1">
      <alignment horizontal="center" vertical="center" wrapText="1"/>
    </xf>
    <xf numFmtId="2" fontId="17" fillId="7" borderId="13" xfId="0" applyNumberFormat="1" applyFont="1" applyFill="1" applyBorder="1" applyAlignment="1">
      <alignment horizontal="center" vertical="center" wrapText="1"/>
    </xf>
    <xf numFmtId="2" fontId="17" fillId="7" borderId="14" xfId="0" applyNumberFormat="1" applyFont="1" applyFill="1" applyBorder="1" applyAlignment="1">
      <alignment horizontal="center" vertical="center" wrapText="1"/>
    </xf>
    <xf numFmtId="2" fontId="17" fillId="7" borderId="8" xfId="0" applyNumberFormat="1" applyFont="1" applyFill="1" applyBorder="1" applyAlignment="1">
      <alignment horizontal="center" vertical="center" wrapText="1"/>
    </xf>
    <xf numFmtId="2" fontId="17" fillId="7" borderId="9" xfId="0" applyNumberFormat="1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 wrapText="1"/>
    </xf>
    <xf numFmtId="2" fontId="16" fillId="7" borderId="3" xfId="0" applyNumberFormat="1" applyFont="1" applyFill="1" applyBorder="1" applyAlignment="1">
      <alignment horizontal="center" vertical="center" wrapText="1"/>
    </xf>
    <xf numFmtId="2" fontId="16" fillId="7" borderId="13" xfId="0" applyNumberFormat="1" applyFont="1" applyFill="1" applyBorder="1" applyAlignment="1">
      <alignment horizontal="center" vertical="center" wrapText="1"/>
    </xf>
    <xf numFmtId="2" fontId="16" fillId="7" borderId="14" xfId="0" applyNumberFormat="1" applyFont="1" applyFill="1" applyBorder="1" applyAlignment="1">
      <alignment horizontal="center" vertical="center" wrapText="1"/>
    </xf>
    <xf numFmtId="2" fontId="16" fillId="7" borderId="8" xfId="0" applyNumberFormat="1" applyFont="1" applyFill="1" applyBorder="1" applyAlignment="1">
      <alignment horizontal="center" vertical="center" wrapText="1"/>
    </xf>
    <xf numFmtId="2" fontId="16" fillId="7" borderId="9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41" fontId="17" fillId="7" borderId="1" xfId="0" applyNumberFormat="1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/>
    </xf>
    <xf numFmtId="2" fontId="17" fillId="7" borderId="11" xfId="0" applyNumberFormat="1" applyFont="1" applyFill="1" applyBorder="1" applyAlignment="1">
      <alignment horizontal="center" vertical="center"/>
    </xf>
    <xf numFmtId="2" fontId="17" fillId="7" borderId="7" xfId="0" applyNumberFormat="1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3" fontId="17" fillId="7" borderId="11" xfId="0" applyNumberFormat="1" applyFont="1" applyFill="1" applyBorder="1" applyAlignment="1">
      <alignment horizontal="center" vertical="center"/>
    </xf>
    <xf numFmtId="3" fontId="17" fillId="7" borderId="7" xfId="0" applyNumberFormat="1" applyFont="1" applyFill="1" applyBorder="1" applyAlignment="1">
      <alignment horizontal="center" vertical="center"/>
    </xf>
    <xf numFmtId="165" fontId="17" fillId="7" borderId="1" xfId="0" applyNumberFormat="1" applyFont="1" applyFill="1" applyBorder="1" applyAlignment="1">
      <alignment horizontal="center" vertical="center" wrapText="1"/>
    </xf>
    <xf numFmtId="165" fontId="17" fillId="7" borderId="11" xfId="0" applyNumberFormat="1" applyFont="1" applyFill="1" applyBorder="1" applyAlignment="1">
      <alignment horizontal="center" vertical="center" wrapText="1"/>
    </xf>
    <xf numFmtId="165" fontId="17" fillId="7" borderId="7" xfId="0" applyNumberFormat="1" applyFont="1" applyFill="1" applyBorder="1" applyAlignment="1">
      <alignment horizontal="center" vertical="center" wrapText="1"/>
    </xf>
    <xf numFmtId="41" fontId="17" fillId="7" borderId="1" xfId="7" applyNumberFormat="1" applyFont="1" applyFill="1" applyBorder="1" applyAlignment="1">
      <alignment horizontal="center" vertical="center" wrapText="1"/>
    </xf>
    <xf numFmtId="0" fontId="17" fillId="7" borderId="11" xfId="7" applyNumberFormat="1" applyFont="1" applyFill="1" applyBorder="1" applyAlignment="1">
      <alignment horizontal="center" vertical="center" wrapText="1"/>
    </xf>
    <xf numFmtId="0" fontId="17" fillId="7" borderId="7" xfId="7" applyNumberFormat="1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/>
    </xf>
    <xf numFmtId="2" fontId="16" fillId="7" borderId="11" xfId="0" applyNumberFormat="1" applyFont="1" applyFill="1" applyBorder="1" applyAlignment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/>
    </xf>
    <xf numFmtId="3" fontId="16" fillId="7" borderId="11" xfId="0" applyNumberFormat="1" applyFont="1" applyFill="1" applyBorder="1" applyAlignment="1">
      <alignment horizontal="center" vertical="center"/>
    </xf>
    <xf numFmtId="3" fontId="16" fillId="7" borderId="7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 wrapText="1"/>
    </xf>
    <xf numFmtId="165" fontId="16" fillId="7" borderId="11" xfId="0" applyNumberFormat="1" applyFont="1" applyFill="1" applyBorder="1" applyAlignment="1">
      <alignment horizontal="center" vertical="center" wrapText="1"/>
    </xf>
    <xf numFmtId="165" fontId="16" fillId="7" borderId="7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41" fontId="16" fillId="7" borderId="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65" fontId="18" fillId="0" borderId="1" xfId="1" applyNumberFormat="1" applyFont="1" applyBorder="1" applyAlignment="1">
      <alignment horizontal="left" vertical="center" wrapText="1"/>
    </xf>
    <xf numFmtId="165" fontId="18" fillId="0" borderId="11" xfId="1" applyNumberFormat="1" applyFont="1" applyBorder="1" applyAlignment="1">
      <alignment horizontal="left" vertical="center" wrapText="1"/>
    </xf>
    <xf numFmtId="165" fontId="18" fillId="0" borderId="7" xfId="1" applyNumberFormat="1" applyFont="1" applyBorder="1" applyAlignment="1">
      <alignment horizontal="left" vertical="center" wrapText="1"/>
    </xf>
    <xf numFmtId="41" fontId="18" fillId="0" borderId="1" xfId="2" applyNumberFormat="1" applyFont="1" applyBorder="1" applyAlignment="1">
      <alignment horizontal="left" vertical="center"/>
    </xf>
    <xf numFmtId="41" fontId="18" fillId="0" borderId="11" xfId="2" applyNumberFormat="1" applyFont="1" applyBorder="1" applyAlignment="1">
      <alignment horizontal="left" vertical="center"/>
    </xf>
    <xf numFmtId="41" fontId="18" fillId="0" borderId="7" xfId="2" applyNumberFormat="1" applyFont="1" applyBorder="1" applyAlignment="1">
      <alignment horizontal="left" vertical="center"/>
    </xf>
    <xf numFmtId="41" fontId="18" fillId="0" borderId="1" xfId="2" applyNumberFormat="1" applyFont="1" applyBorder="1" applyAlignment="1">
      <alignment horizontal="center" vertical="center"/>
    </xf>
    <xf numFmtId="41" fontId="18" fillId="0" borderId="11" xfId="2" applyNumberFormat="1" applyFont="1" applyBorder="1" applyAlignment="1">
      <alignment horizontal="center" vertical="center"/>
    </xf>
    <xf numFmtId="41" fontId="18" fillId="0" borderId="7" xfId="2" applyNumberFormat="1" applyFont="1" applyBorder="1" applyAlignment="1">
      <alignment horizontal="center" vertical="center"/>
    </xf>
    <xf numFmtId="41" fontId="18" fillId="0" borderId="1" xfId="2" applyNumberFormat="1" applyFont="1" applyBorder="1" applyAlignment="1">
      <alignment horizontal="center" vertical="top"/>
    </xf>
    <xf numFmtId="41" fontId="18" fillId="0" borderId="11" xfId="2" applyNumberFormat="1" applyFont="1" applyBorder="1" applyAlignment="1">
      <alignment horizontal="center" vertical="top"/>
    </xf>
    <xf numFmtId="41" fontId="18" fillId="0" borderId="7" xfId="2" applyNumberFormat="1" applyFont="1" applyBorder="1" applyAlignment="1">
      <alignment horizontal="center" vertical="top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41" fontId="17" fillId="7" borderId="2" xfId="1" applyNumberFormat="1" applyFont="1" applyFill="1" applyBorder="1" applyAlignment="1">
      <alignment horizontal="center" vertical="center"/>
    </xf>
    <xf numFmtId="41" fontId="17" fillId="7" borderId="3" xfId="1" applyNumberFormat="1" applyFont="1" applyFill="1" applyBorder="1" applyAlignment="1">
      <alignment horizontal="center" vertical="center"/>
    </xf>
    <xf numFmtId="41" fontId="17" fillId="7" borderId="13" xfId="1" applyNumberFormat="1" applyFont="1" applyFill="1" applyBorder="1" applyAlignment="1">
      <alignment horizontal="center" vertical="center"/>
    </xf>
    <xf numFmtId="41" fontId="17" fillId="7" borderId="14" xfId="1" applyNumberFormat="1" applyFont="1" applyFill="1" applyBorder="1" applyAlignment="1">
      <alignment horizontal="center" vertical="center"/>
    </xf>
    <xf numFmtId="41" fontId="17" fillId="7" borderId="8" xfId="1" applyNumberFormat="1" applyFont="1" applyFill="1" applyBorder="1" applyAlignment="1">
      <alignment horizontal="center" vertical="center"/>
    </xf>
    <xf numFmtId="41" fontId="17" fillId="7" borderId="9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center" vertical="center" wrapText="1"/>
    </xf>
    <xf numFmtId="165" fontId="18" fillId="0" borderId="11" xfId="1" applyNumberFormat="1" applyFont="1" applyBorder="1" applyAlignment="1">
      <alignment horizontal="center" vertical="center" wrapText="1"/>
    </xf>
    <xf numFmtId="165" fontId="18" fillId="0" borderId="7" xfId="1" applyNumberFormat="1" applyFont="1" applyBorder="1" applyAlignment="1">
      <alignment horizontal="center" vertical="center" wrapText="1"/>
    </xf>
    <xf numFmtId="41" fontId="17" fillId="7" borderId="1" xfId="1" applyNumberFormat="1" applyFont="1" applyFill="1" applyBorder="1" applyAlignment="1">
      <alignment horizontal="center" vertical="center"/>
    </xf>
    <xf numFmtId="41" fontId="17" fillId="7" borderId="11" xfId="1" applyNumberFormat="1" applyFont="1" applyFill="1" applyBorder="1" applyAlignment="1">
      <alignment horizontal="center" vertical="center"/>
    </xf>
    <xf numFmtId="41" fontId="17" fillId="7" borderId="7" xfId="1" applyNumberFormat="1" applyFont="1" applyFill="1" applyBorder="1" applyAlignment="1">
      <alignment horizontal="center" vertical="center"/>
    </xf>
    <xf numFmtId="3" fontId="17" fillId="7" borderId="1" xfId="7" applyNumberFormat="1" applyFont="1" applyFill="1" applyBorder="1" applyAlignment="1">
      <alignment horizontal="center" vertical="center" wrapText="1"/>
    </xf>
    <xf numFmtId="3" fontId="17" fillId="7" borderId="11" xfId="7" applyNumberFormat="1" applyFont="1" applyFill="1" applyBorder="1" applyAlignment="1">
      <alignment horizontal="center" vertical="center" wrapText="1"/>
    </xf>
    <xf numFmtId="3" fontId="17" fillId="7" borderId="7" xfId="7" applyNumberFormat="1" applyFont="1" applyFill="1" applyBorder="1" applyAlignment="1">
      <alignment horizontal="center" vertical="center" wrapText="1"/>
    </xf>
    <xf numFmtId="43" fontId="17" fillId="7" borderId="1" xfId="0" applyNumberFormat="1" applyFont="1" applyFill="1" applyBorder="1" applyAlignment="1">
      <alignment horizontal="center" vertical="center" wrapText="1"/>
    </xf>
    <xf numFmtId="43" fontId="17" fillId="7" borderId="7" xfId="0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 wrapText="1"/>
    </xf>
    <xf numFmtId="0" fontId="18" fillId="0" borderId="11" xfId="4" applyFont="1" applyBorder="1" applyAlignment="1">
      <alignment horizontal="left" vertical="center" wrapText="1"/>
    </xf>
    <xf numFmtId="0" fontId="23" fillId="7" borderId="1" xfId="4" applyFont="1" applyFill="1" applyBorder="1" applyAlignment="1">
      <alignment horizontal="left" vertical="center" wrapText="1"/>
    </xf>
    <xf numFmtId="0" fontId="23" fillId="7" borderId="11" xfId="4" applyFont="1" applyFill="1" applyBorder="1" applyAlignment="1">
      <alignment horizontal="left" vertical="center" wrapText="1"/>
    </xf>
    <xf numFmtId="0" fontId="23" fillId="7" borderId="7" xfId="4" applyFont="1" applyFill="1" applyBorder="1" applyAlignment="1">
      <alignment horizontal="left" vertical="center" wrapText="1"/>
    </xf>
    <xf numFmtId="0" fontId="24" fillId="7" borderId="1" xfId="4" applyFont="1" applyFill="1" applyBorder="1" applyAlignment="1">
      <alignment horizontal="left" vertical="center" wrapText="1"/>
    </xf>
    <xf numFmtId="0" fontId="24" fillId="7" borderId="11" xfId="4" applyFont="1" applyFill="1" applyBorder="1" applyAlignment="1">
      <alignment horizontal="left" vertical="center" wrapText="1"/>
    </xf>
    <xf numFmtId="0" fontId="24" fillId="7" borderId="7" xfId="4" applyFont="1" applyFill="1" applyBorder="1" applyAlignment="1">
      <alignment horizontal="left" vertical="center" wrapText="1"/>
    </xf>
    <xf numFmtId="3" fontId="17" fillId="7" borderId="1" xfId="8" applyNumberFormat="1" applyFont="1" applyFill="1" applyBorder="1" applyAlignment="1">
      <alignment horizontal="center" vertical="center" wrapText="1"/>
    </xf>
    <xf numFmtId="3" fontId="17" fillId="7" borderId="11" xfId="8" applyNumberFormat="1" applyFont="1" applyFill="1" applyBorder="1" applyAlignment="1">
      <alignment horizontal="center" vertical="center" wrapText="1"/>
    </xf>
    <xf numFmtId="3" fontId="17" fillId="7" borderId="7" xfId="8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1" fontId="17" fillId="7" borderId="7" xfId="0" applyNumberFormat="1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left" vertical="center"/>
    </xf>
    <xf numFmtId="2" fontId="17" fillId="7" borderId="7" xfId="0" applyNumberFormat="1" applyFont="1" applyFill="1" applyBorder="1" applyAlignment="1">
      <alignment horizontal="left" vertical="center"/>
    </xf>
    <xf numFmtId="3" fontId="17" fillId="7" borderId="1" xfId="0" applyNumberFormat="1" applyFont="1" applyFill="1" applyBorder="1" applyAlignment="1">
      <alignment horizontal="left" vertical="center"/>
    </xf>
    <xf numFmtId="3" fontId="17" fillId="7" borderId="7" xfId="0" applyNumberFormat="1" applyFont="1" applyFill="1" applyBorder="1" applyAlignment="1">
      <alignment horizontal="left" vertical="center"/>
    </xf>
    <xf numFmtId="1" fontId="17" fillId="7" borderId="1" xfId="0" applyNumberFormat="1" applyFont="1" applyFill="1" applyBorder="1" applyAlignment="1">
      <alignment horizontal="left" vertical="center"/>
    </xf>
    <xf numFmtId="1" fontId="17" fillId="7" borderId="7" xfId="0" applyNumberFormat="1" applyFont="1" applyFill="1" applyBorder="1" applyAlignment="1">
      <alignment horizontal="left" vertical="center"/>
    </xf>
    <xf numFmtId="0" fontId="17" fillId="7" borderId="1" xfId="4" applyFont="1" applyFill="1" applyBorder="1" applyAlignment="1">
      <alignment horizontal="left" vertical="center" wrapText="1"/>
    </xf>
    <xf numFmtId="0" fontId="17" fillId="7" borderId="11" xfId="4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7" xfId="4" applyFont="1" applyBorder="1" applyAlignment="1">
      <alignment horizontal="left" vertical="center" wrapText="1"/>
    </xf>
    <xf numFmtId="0" fontId="23" fillId="7" borderId="15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3" fontId="16" fillId="7" borderId="11" xfId="0" applyNumberFormat="1" applyFont="1" applyFill="1" applyBorder="1" applyAlignment="1">
      <alignment horizontal="center" vertical="center" wrapText="1"/>
    </xf>
    <xf numFmtId="3" fontId="16" fillId="7" borderId="7" xfId="0" applyNumberFormat="1" applyFont="1" applyFill="1" applyBorder="1" applyAlignment="1">
      <alignment horizontal="center" vertical="center" wrapText="1"/>
    </xf>
    <xf numFmtId="41" fontId="16" fillId="7" borderId="1" xfId="7" applyNumberFormat="1" applyFont="1" applyFill="1" applyBorder="1" applyAlignment="1">
      <alignment horizontal="center" vertical="center" wrapText="1"/>
    </xf>
    <xf numFmtId="0" fontId="16" fillId="7" borderId="11" xfId="7" applyNumberFormat="1" applyFont="1" applyFill="1" applyBorder="1" applyAlignment="1">
      <alignment horizontal="center" vertical="center" wrapText="1"/>
    </xf>
    <xf numFmtId="0" fontId="16" fillId="7" borderId="7" xfId="7" applyNumberFormat="1" applyFont="1" applyFill="1" applyBorder="1" applyAlignment="1">
      <alignment horizontal="center" vertical="center" wrapText="1"/>
    </xf>
    <xf numFmtId="3" fontId="16" fillId="7" borderId="1" xfId="7" applyNumberFormat="1" applyFont="1" applyFill="1" applyBorder="1" applyAlignment="1">
      <alignment horizontal="center" vertical="center" wrapText="1"/>
    </xf>
    <xf numFmtId="3" fontId="16" fillId="7" borderId="11" xfId="7" applyNumberFormat="1" applyFont="1" applyFill="1" applyBorder="1" applyAlignment="1">
      <alignment horizontal="center" vertical="center" wrapText="1"/>
    </xf>
    <xf numFmtId="3" fontId="16" fillId="7" borderId="7" xfId="7" applyNumberFormat="1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165" fontId="17" fillId="7" borderId="1" xfId="7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</cellXfs>
  <cellStyles count="9">
    <cellStyle name="Comma" xfId="1" builtinId="3"/>
    <cellStyle name="Comma [0]" xfId="2" builtinId="6"/>
    <cellStyle name="Comma [0] 2 10" xfId="7"/>
    <cellStyle name="Currency [0]" xfId="3" builtinId="7"/>
    <cellStyle name="Normal" xfId="0" builtinId="0"/>
    <cellStyle name="Normal 14" xfId="6"/>
    <cellStyle name="Normal 2" xfId="5"/>
    <cellStyle name="Normal 2 7" xfId="4"/>
    <cellStyle name="Percent 2 2" xfId="8"/>
  </cellStyles>
  <dxfs count="0"/>
  <tableStyles count="0" defaultTableStyle="TableStyleMedium2" defaultPivotStyle="PivotStyleLight16"/>
  <colors>
    <mruColors>
      <color rgb="FFFFCCFF"/>
      <color rgb="FFD2E6C4"/>
      <color rgb="FFEFF6EA"/>
      <color rgb="FFFF99FF"/>
      <color rgb="FFFF66FF"/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4"/>
  <sheetViews>
    <sheetView view="pageBreakPreview" zoomScale="60" zoomScaleNormal="60" workbookViewId="0">
      <pane ySplit="6" topLeftCell="A37" activePane="bottomLeft" state="frozen"/>
      <selection pane="bottomLeft" activeCell="M41" sqref="M41"/>
    </sheetView>
  </sheetViews>
  <sheetFormatPr defaultColWidth="2.42578125" defaultRowHeight="21" x14ac:dyDescent="0.35"/>
  <cols>
    <col min="1" max="1" width="29.5703125" style="1" customWidth="1"/>
    <col min="2" max="2" width="28.140625" style="1" customWidth="1"/>
    <col min="3" max="3" width="48.5703125" style="1" customWidth="1"/>
    <col min="4" max="4" width="14.42578125" style="1" customWidth="1"/>
    <col min="5" max="5" width="13.85546875" style="3" customWidth="1"/>
    <col min="6" max="6" width="27.28515625" style="19" customWidth="1"/>
    <col min="7" max="7" width="9.42578125" style="20" customWidth="1"/>
    <col min="8" max="8" width="27.28515625" style="19" customWidth="1"/>
    <col min="9" max="9" width="11.140625" style="19" customWidth="1"/>
    <col min="10" max="10" width="27.28515625" style="19" customWidth="1"/>
    <col min="11" max="11" width="11.140625" style="1" customWidth="1"/>
    <col min="12" max="12" width="29.7109375" style="1" customWidth="1"/>
    <col min="13" max="13" width="11.5703125" style="26" customWidth="1"/>
    <col min="14" max="14" width="27.5703125" style="26" customWidth="1"/>
    <col min="15" max="15" width="10.85546875" style="1" customWidth="1"/>
    <col min="16" max="16" width="23.5703125" style="1" customWidth="1"/>
    <col min="17" max="17" width="13.85546875" style="1" customWidth="1"/>
    <col min="18" max="18" width="26.5703125" style="1" customWidth="1"/>
    <col min="19" max="19" width="20.85546875" style="1" customWidth="1"/>
    <col min="20" max="20" width="23" style="1" customWidth="1"/>
    <col min="21" max="21" width="22" style="1" customWidth="1"/>
    <col min="22" max="22" width="15.5703125" style="1" customWidth="1"/>
    <col min="23" max="23" width="17.140625" style="1" customWidth="1"/>
    <col min="24" max="24" width="25.28515625" style="1" customWidth="1"/>
    <col min="25" max="25" width="21.140625" style="1" customWidth="1"/>
    <col min="26" max="26" width="20" style="1" customWidth="1"/>
    <col min="27" max="27" width="11.28515625" style="1" customWidth="1"/>
    <col min="28" max="28" width="19.5703125" style="1" customWidth="1"/>
    <col min="29" max="30" width="17" style="1" hidden="1" customWidth="1"/>
    <col min="31" max="31" width="2.42578125" style="1"/>
    <col min="32" max="32" width="2.140625" style="1" customWidth="1"/>
    <col min="33" max="33" width="3.7109375" style="1" hidden="1" customWidth="1"/>
    <col min="34" max="39" width="0" style="1" hidden="1" customWidth="1"/>
    <col min="40" max="16384" width="2.42578125" style="1"/>
  </cols>
  <sheetData>
    <row r="1" spans="1:42" ht="28.5" x14ac:dyDescent="0.4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</row>
    <row r="2" spans="1:42" ht="26.25" x14ac:dyDescent="0.4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</row>
    <row r="3" spans="1:42" x14ac:dyDescent="0.35">
      <c r="A3" s="2"/>
      <c r="E3" s="226"/>
      <c r="F3" s="225"/>
      <c r="T3" s="55"/>
    </row>
    <row r="4" spans="1:42" s="56" customFormat="1" ht="21" customHeight="1" x14ac:dyDescent="0.25">
      <c r="A4" s="406" t="s">
        <v>0</v>
      </c>
      <c r="B4" s="406" t="s">
        <v>1</v>
      </c>
      <c r="C4" s="406" t="s">
        <v>2</v>
      </c>
      <c r="D4" s="60"/>
      <c r="E4" s="406" t="s">
        <v>98</v>
      </c>
      <c r="F4" s="406"/>
      <c r="G4" s="406" t="s">
        <v>99</v>
      </c>
      <c r="H4" s="406"/>
      <c r="I4" s="406" t="s">
        <v>104</v>
      </c>
      <c r="J4" s="406"/>
      <c r="K4" s="406" t="s">
        <v>3</v>
      </c>
      <c r="L4" s="406"/>
      <c r="M4" s="406"/>
      <c r="N4" s="406"/>
      <c r="O4" s="406"/>
      <c r="P4" s="406"/>
      <c r="Q4" s="406"/>
      <c r="R4" s="406"/>
      <c r="S4" s="406" t="s">
        <v>100</v>
      </c>
      <c r="T4" s="406"/>
      <c r="U4" s="406" t="s">
        <v>101</v>
      </c>
      <c r="V4" s="406"/>
      <c r="W4" s="406" t="s">
        <v>117</v>
      </c>
      <c r="X4" s="406"/>
      <c r="Y4" s="406" t="s">
        <v>102</v>
      </c>
      <c r="Z4" s="406"/>
      <c r="AA4" s="406" t="s">
        <v>103</v>
      </c>
      <c r="AB4" s="406"/>
      <c r="AC4" s="404" t="s">
        <v>4</v>
      </c>
      <c r="AD4" s="404" t="s">
        <v>5</v>
      </c>
    </row>
    <row r="5" spans="1:42" s="57" customFormat="1" ht="123.75" customHeight="1" x14ac:dyDescent="0.25">
      <c r="A5" s="406"/>
      <c r="B5" s="406"/>
      <c r="C5" s="406"/>
      <c r="D5" s="60" t="s">
        <v>123</v>
      </c>
      <c r="E5" s="406"/>
      <c r="F5" s="406"/>
      <c r="G5" s="406"/>
      <c r="H5" s="406"/>
      <c r="I5" s="406"/>
      <c r="J5" s="406"/>
      <c r="K5" s="370" t="s">
        <v>6</v>
      </c>
      <c r="L5" s="370"/>
      <c r="M5" s="370" t="s">
        <v>7</v>
      </c>
      <c r="N5" s="370"/>
      <c r="O5" s="370" t="s">
        <v>8</v>
      </c>
      <c r="P5" s="370"/>
      <c r="Q5" s="370" t="s">
        <v>9</v>
      </c>
      <c r="R5" s="370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5"/>
      <c r="AD5" s="405"/>
    </row>
    <row r="6" spans="1:42" s="57" customFormat="1" ht="40.5" x14ac:dyDescent="0.2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58">
        <v>12</v>
      </c>
      <c r="M6" s="58">
        <v>13</v>
      </c>
      <c r="N6" s="58">
        <v>14</v>
      </c>
      <c r="O6" s="58">
        <v>15</v>
      </c>
      <c r="P6" s="58">
        <v>16</v>
      </c>
      <c r="Q6" s="58">
        <v>17</v>
      </c>
      <c r="R6" s="58">
        <v>18</v>
      </c>
      <c r="S6" s="121" t="s">
        <v>170</v>
      </c>
      <c r="T6" s="121" t="s">
        <v>173</v>
      </c>
      <c r="U6" s="121" t="s">
        <v>174</v>
      </c>
      <c r="V6" s="121" t="s">
        <v>175</v>
      </c>
      <c r="W6" s="122" t="s">
        <v>171</v>
      </c>
      <c r="X6" s="122" t="s">
        <v>172</v>
      </c>
      <c r="Y6" s="123" t="s">
        <v>176</v>
      </c>
      <c r="Z6" s="123" t="s">
        <v>177</v>
      </c>
      <c r="AA6" s="370">
        <v>27</v>
      </c>
      <c r="AB6" s="370"/>
      <c r="AC6" s="59">
        <v>17</v>
      </c>
      <c r="AD6" s="59">
        <v>18</v>
      </c>
    </row>
    <row r="7" spans="1:42" s="57" customFormat="1" ht="20.25" x14ac:dyDescent="0.25">
      <c r="A7" s="58"/>
      <c r="B7" s="58"/>
      <c r="C7" s="58"/>
      <c r="D7" s="58"/>
      <c r="E7" s="60" t="s">
        <v>10</v>
      </c>
      <c r="F7" s="58" t="s">
        <v>11</v>
      </c>
      <c r="G7" s="60" t="s">
        <v>10</v>
      </c>
      <c r="H7" s="58" t="s">
        <v>11</v>
      </c>
      <c r="I7" s="58" t="s">
        <v>10</v>
      </c>
      <c r="J7" s="58" t="s">
        <v>11</v>
      </c>
      <c r="K7" s="58" t="s">
        <v>10</v>
      </c>
      <c r="L7" s="58" t="s">
        <v>11</v>
      </c>
      <c r="M7" s="58" t="s">
        <v>10</v>
      </c>
      <c r="N7" s="58" t="s">
        <v>11</v>
      </c>
      <c r="O7" s="58" t="s">
        <v>10</v>
      </c>
      <c r="P7" s="58" t="s">
        <v>11</v>
      </c>
      <c r="Q7" s="58" t="s">
        <v>10</v>
      </c>
      <c r="R7" s="58" t="s">
        <v>11</v>
      </c>
      <c r="S7" s="58" t="s">
        <v>10</v>
      </c>
      <c r="T7" s="58" t="s">
        <v>11</v>
      </c>
      <c r="U7" s="58" t="s">
        <v>10</v>
      </c>
      <c r="V7" s="58" t="s">
        <v>11</v>
      </c>
      <c r="W7" s="58" t="s">
        <v>10</v>
      </c>
      <c r="X7" s="58" t="s">
        <v>11</v>
      </c>
      <c r="Y7" s="58" t="s">
        <v>10</v>
      </c>
      <c r="Z7" s="58" t="s">
        <v>11</v>
      </c>
      <c r="AA7" s="58" t="s">
        <v>10</v>
      </c>
      <c r="AB7" s="58" t="s">
        <v>11</v>
      </c>
      <c r="AC7" s="59"/>
      <c r="AD7" s="59"/>
    </row>
    <row r="8" spans="1:42" s="320" customFormat="1" ht="39.75" customHeight="1" x14ac:dyDescent="0.25">
      <c r="A8" s="318" t="s">
        <v>169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</row>
    <row r="9" spans="1:42" s="64" customFormat="1" ht="105" customHeight="1" x14ac:dyDescent="0.25">
      <c r="A9" s="385" t="s">
        <v>132</v>
      </c>
      <c r="B9" s="392" t="s">
        <v>23</v>
      </c>
      <c r="C9" s="129" t="s">
        <v>178</v>
      </c>
      <c r="D9" s="130" t="s">
        <v>124</v>
      </c>
      <c r="E9" s="130">
        <v>95</v>
      </c>
      <c r="F9" s="354">
        <f>SUM(F14:F30)</f>
        <v>10033000000</v>
      </c>
      <c r="G9" s="136">
        <v>70</v>
      </c>
      <c r="H9" s="354">
        <f>SUM(H14+H15+H16+H17+H18+H19+H20+H21+H22+H23+H24+H25+H26+H27+H28+H29+H30)</f>
        <v>1361231792</v>
      </c>
      <c r="I9" s="136">
        <v>70</v>
      </c>
      <c r="J9" s="354">
        <f>J14+J15+J16+J17+J18+J19+J20+J21+J22+J23+J24+J25+J26+J27+J28+J29+J30</f>
        <v>1813000000</v>
      </c>
      <c r="K9" s="136">
        <v>70</v>
      </c>
      <c r="L9" s="351">
        <f>SUM(L14:L30)</f>
        <v>607039492</v>
      </c>
      <c r="M9" s="136">
        <v>70</v>
      </c>
      <c r="N9" s="351">
        <f>SUM(N14:N30)</f>
        <v>351754089</v>
      </c>
      <c r="O9" s="127"/>
      <c r="P9" s="351">
        <f>SUM(P14:P30)</f>
        <v>0</v>
      </c>
      <c r="Q9" s="128"/>
      <c r="R9" s="351">
        <f>SUM(R14:R30)</f>
        <v>0</v>
      </c>
      <c r="S9" s="136">
        <v>70</v>
      </c>
      <c r="T9" s="351">
        <f>L9+N9+P9+R9</f>
        <v>958793581</v>
      </c>
      <c r="U9" s="159">
        <f t="shared" ref="U9:U13" si="0">S9/I9*100</f>
        <v>100</v>
      </c>
      <c r="V9" s="351">
        <f>AVERAGE(V14:V30)</f>
        <v>42.77433183109315</v>
      </c>
      <c r="W9" s="139">
        <f t="shared" ref="W9:W19" si="1">S9</f>
        <v>70</v>
      </c>
      <c r="X9" s="351">
        <f>T9</f>
        <v>958793581</v>
      </c>
      <c r="Y9" s="138">
        <f t="shared" ref="Y9:Y13" si="2">W9/E9*100</f>
        <v>73.68421052631578</v>
      </c>
      <c r="Z9" s="351">
        <f>AVERAGE(Z14:Z30)</f>
        <v>7.5654740740799173</v>
      </c>
      <c r="AA9" s="342" t="s">
        <v>182</v>
      </c>
      <c r="AB9" s="343"/>
      <c r="AC9" s="62"/>
      <c r="AD9" s="62"/>
      <c r="AE9" s="63"/>
    </row>
    <row r="10" spans="1:42" s="64" customFormat="1" ht="40.5" x14ac:dyDescent="0.25">
      <c r="A10" s="386"/>
      <c r="B10" s="393"/>
      <c r="C10" s="129" t="s">
        <v>179</v>
      </c>
      <c r="D10" s="130" t="s">
        <v>124</v>
      </c>
      <c r="E10" s="130">
        <v>95</v>
      </c>
      <c r="F10" s="355"/>
      <c r="G10" s="136">
        <v>80</v>
      </c>
      <c r="H10" s="355"/>
      <c r="I10" s="136">
        <v>80</v>
      </c>
      <c r="J10" s="355"/>
      <c r="K10" s="136">
        <v>80</v>
      </c>
      <c r="L10" s="352"/>
      <c r="M10" s="136">
        <v>80</v>
      </c>
      <c r="N10" s="352"/>
      <c r="O10" s="127"/>
      <c r="P10" s="352"/>
      <c r="Q10" s="128"/>
      <c r="R10" s="352"/>
      <c r="S10" s="136">
        <v>80</v>
      </c>
      <c r="T10" s="352"/>
      <c r="U10" s="159">
        <f t="shared" si="0"/>
        <v>100</v>
      </c>
      <c r="V10" s="352"/>
      <c r="W10" s="139">
        <f t="shared" si="1"/>
        <v>80</v>
      </c>
      <c r="X10" s="352"/>
      <c r="Y10" s="138">
        <f t="shared" si="2"/>
        <v>84.210526315789465</v>
      </c>
      <c r="Z10" s="352"/>
      <c r="AA10" s="344"/>
      <c r="AB10" s="345"/>
      <c r="AC10" s="62"/>
      <c r="AD10" s="62"/>
      <c r="AE10" s="63"/>
    </row>
    <row r="11" spans="1:42" s="64" customFormat="1" ht="37.5" customHeight="1" x14ac:dyDescent="0.25">
      <c r="A11" s="386"/>
      <c r="B11" s="393"/>
      <c r="C11" s="129" t="s">
        <v>180</v>
      </c>
      <c r="D11" s="130" t="s">
        <v>124</v>
      </c>
      <c r="E11" s="130">
        <v>100</v>
      </c>
      <c r="F11" s="355"/>
      <c r="G11" s="136">
        <v>100</v>
      </c>
      <c r="H11" s="355"/>
      <c r="I11" s="136">
        <v>100</v>
      </c>
      <c r="J11" s="355"/>
      <c r="K11" s="136">
        <v>100</v>
      </c>
      <c r="L11" s="352"/>
      <c r="M11" s="136">
        <v>100</v>
      </c>
      <c r="N11" s="352"/>
      <c r="O11" s="127"/>
      <c r="P11" s="352"/>
      <c r="Q11" s="128"/>
      <c r="R11" s="352"/>
      <c r="S11" s="136">
        <v>100</v>
      </c>
      <c r="T11" s="352"/>
      <c r="U11" s="159">
        <f t="shared" si="0"/>
        <v>100</v>
      </c>
      <c r="V11" s="352"/>
      <c r="W11" s="139">
        <f t="shared" si="1"/>
        <v>100</v>
      </c>
      <c r="X11" s="352"/>
      <c r="Y11" s="139">
        <f t="shared" si="2"/>
        <v>100</v>
      </c>
      <c r="Z11" s="352"/>
      <c r="AA11" s="344"/>
      <c r="AB11" s="345"/>
      <c r="AC11" s="62"/>
      <c r="AD11" s="62"/>
      <c r="AE11" s="63"/>
    </row>
    <row r="12" spans="1:42" s="64" customFormat="1" ht="82.5" customHeight="1" x14ac:dyDescent="0.25">
      <c r="A12" s="387"/>
      <c r="B12" s="394"/>
      <c r="C12" s="129" t="s">
        <v>181</v>
      </c>
      <c r="D12" s="130" t="s">
        <v>124</v>
      </c>
      <c r="E12" s="130">
        <v>100</v>
      </c>
      <c r="F12" s="356"/>
      <c r="G12" s="136">
        <v>100</v>
      </c>
      <c r="H12" s="356"/>
      <c r="I12" s="136">
        <v>100</v>
      </c>
      <c r="J12" s="356"/>
      <c r="K12" s="136">
        <f>K28/I28*100</f>
        <v>16.666666666666664</v>
      </c>
      <c r="L12" s="353"/>
      <c r="M12" s="136">
        <v>0</v>
      </c>
      <c r="N12" s="353"/>
      <c r="O12" s="127"/>
      <c r="P12" s="353"/>
      <c r="Q12" s="128"/>
      <c r="R12" s="353"/>
      <c r="S12" s="136">
        <v>17</v>
      </c>
      <c r="T12" s="353"/>
      <c r="U12" s="137">
        <f>K12+M12+O12+Q12</f>
        <v>16.666666666666664</v>
      </c>
      <c r="V12" s="353"/>
      <c r="W12" s="139">
        <f t="shared" si="1"/>
        <v>17</v>
      </c>
      <c r="X12" s="353"/>
      <c r="Y12" s="139">
        <f t="shared" si="2"/>
        <v>17</v>
      </c>
      <c r="Z12" s="353"/>
      <c r="AA12" s="346"/>
      <c r="AB12" s="347"/>
      <c r="AC12" s="62"/>
      <c r="AD12" s="62"/>
      <c r="AE12" s="63"/>
    </row>
    <row r="13" spans="1:42" s="77" customFormat="1" ht="27.75" hidden="1" customHeight="1" x14ac:dyDescent="0.25">
      <c r="A13" s="388" t="s">
        <v>133</v>
      </c>
      <c r="B13" s="359" t="s">
        <v>24</v>
      </c>
      <c r="C13" s="65" t="s">
        <v>25</v>
      </c>
      <c r="D13" s="61" t="s">
        <v>124</v>
      </c>
      <c r="E13" s="66">
        <f>917001834</f>
        <v>917001834</v>
      </c>
      <c r="F13" s="67">
        <f>E13*8000</f>
        <v>7336014672000</v>
      </c>
      <c r="G13" s="66">
        <v>950</v>
      </c>
      <c r="H13" s="68">
        <v>4500000</v>
      </c>
      <c r="I13" s="66">
        <v>0</v>
      </c>
      <c r="J13" s="68"/>
      <c r="K13" s="69"/>
      <c r="L13" s="70"/>
      <c r="M13" s="71"/>
      <c r="N13" s="70"/>
      <c r="O13" s="71"/>
      <c r="P13" s="70"/>
      <c r="Q13" s="69"/>
      <c r="R13" s="70"/>
      <c r="S13" s="69"/>
      <c r="T13" s="72"/>
      <c r="U13" s="73" t="e">
        <f t="shared" si="0"/>
        <v>#DIV/0!</v>
      </c>
      <c r="V13" s="74"/>
      <c r="W13" s="74">
        <f t="shared" si="1"/>
        <v>0</v>
      </c>
      <c r="X13" s="74"/>
      <c r="Y13" s="74">
        <f t="shared" si="2"/>
        <v>0</v>
      </c>
      <c r="Z13" s="74"/>
      <c r="AA13" s="73"/>
      <c r="AB13" s="74"/>
      <c r="AC13" s="75"/>
      <c r="AD13" s="75"/>
      <c r="AE13" s="76"/>
    </row>
    <row r="14" spans="1:42" s="77" customFormat="1" ht="40.5" x14ac:dyDescent="0.25">
      <c r="A14" s="389"/>
      <c r="B14" s="360"/>
      <c r="C14" s="65" t="s">
        <v>26</v>
      </c>
      <c r="D14" s="65" t="s">
        <v>125</v>
      </c>
      <c r="E14" s="66">
        <v>60</v>
      </c>
      <c r="F14" s="321">
        <f>493000000+(550000000*4)</f>
        <v>2693000000</v>
      </c>
      <c r="G14" s="66">
        <v>12</v>
      </c>
      <c r="H14" s="324">
        <v>411886470</v>
      </c>
      <c r="I14" s="66">
        <v>12</v>
      </c>
      <c r="J14" s="327">
        <v>493000000</v>
      </c>
      <c r="K14" s="69">
        <v>3</v>
      </c>
      <c r="L14" s="324">
        <v>94237992</v>
      </c>
      <c r="M14" s="69">
        <v>3</v>
      </c>
      <c r="N14" s="327">
        <f>235814901-L14</f>
        <v>141576909</v>
      </c>
      <c r="O14" s="71"/>
      <c r="P14" s="330"/>
      <c r="Q14" s="69"/>
      <c r="R14" s="330"/>
      <c r="S14" s="69">
        <f>K14+M14+O14+Q14</f>
        <v>6</v>
      </c>
      <c r="T14" s="333">
        <f>L14+N14+P14+R14</f>
        <v>235814901</v>
      </c>
      <c r="U14" s="131">
        <f>S14/I14*100</f>
        <v>50</v>
      </c>
      <c r="V14" s="336">
        <f>T14/J14*100</f>
        <v>47.832637119675461</v>
      </c>
      <c r="W14" s="132">
        <f t="shared" si="1"/>
        <v>6</v>
      </c>
      <c r="X14" s="339">
        <f>T14</f>
        <v>235814901</v>
      </c>
      <c r="Y14" s="132">
        <f>W14/E14*100</f>
        <v>10</v>
      </c>
      <c r="Z14" s="336">
        <f>X14/F14*100</f>
        <v>8.7565874860750093</v>
      </c>
      <c r="AA14" s="73"/>
      <c r="AB14" s="74"/>
      <c r="AC14" s="75"/>
      <c r="AD14" s="75"/>
      <c r="AE14" s="76"/>
    </row>
    <row r="15" spans="1:42" s="77" customFormat="1" ht="20.25" x14ac:dyDescent="0.25">
      <c r="A15" s="389"/>
      <c r="B15" s="360"/>
      <c r="C15" s="65" t="s">
        <v>27</v>
      </c>
      <c r="D15" s="65" t="s">
        <v>125</v>
      </c>
      <c r="E15" s="66">
        <v>60</v>
      </c>
      <c r="F15" s="322"/>
      <c r="G15" s="66">
        <v>12</v>
      </c>
      <c r="H15" s="325"/>
      <c r="I15" s="66">
        <v>12</v>
      </c>
      <c r="J15" s="328"/>
      <c r="K15" s="69">
        <v>3</v>
      </c>
      <c r="L15" s="325"/>
      <c r="M15" s="69">
        <v>3</v>
      </c>
      <c r="N15" s="328"/>
      <c r="O15" s="71"/>
      <c r="P15" s="331"/>
      <c r="Q15" s="69"/>
      <c r="R15" s="331"/>
      <c r="S15" s="69">
        <f t="shared" ref="S15:S30" si="3">K15+M15+O15+Q15</f>
        <v>6</v>
      </c>
      <c r="T15" s="334"/>
      <c r="U15" s="131">
        <f t="shared" ref="U15:U20" si="4">S15/I15*100</f>
        <v>50</v>
      </c>
      <c r="V15" s="337"/>
      <c r="W15" s="132">
        <f t="shared" si="1"/>
        <v>6</v>
      </c>
      <c r="X15" s="340"/>
      <c r="Y15" s="132">
        <f t="shared" ref="Y15:Y20" si="5">W15/E15*100</f>
        <v>10</v>
      </c>
      <c r="Z15" s="337"/>
      <c r="AA15" s="73"/>
      <c r="AB15" s="74"/>
      <c r="AC15" s="75"/>
      <c r="AD15" s="75"/>
      <c r="AE15" s="76"/>
    </row>
    <row r="16" spans="1:42" s="77" customFormat="1" ht="20.25" x14ac:dyDescent="0.25">
      <c r="A16" s="389"/>
      <c r="B16" s="360"/>
      <c r="C16" s="65" t="s">
        <v>28</v>
      </c>
      <c r="D16" s="65" t="s">
        <v>125</v>
      </c>
      <c r="E16" s="66">
        <v>60</v>
      </c>
      <c r="F16" s="322"/>
      <c r="G16" s="66">
        <v>12</v>
      </c>
      <c r="H16" s="325"/>
      <c r="I16" s="66">
        <v>12</v>
      </c>
      <c r="J16" s="328"/>
      <c r="K16" s="69">
        <v>3</v>
      </c>
      <c r="L16" s="325"/>
      <c r="M16" s="69">
        <v>3</v>
      </c>
      <c r="N16" s="328"/>
      <c r="O16" s="71"/>
      <c r="P16" s="331"/>
      <c r="Q16" s="69"/>
      <c r="R16" s="331"/>
      <c r="S16" s="69">
        <f t="shared" si="3"/>
        <v>6</v>
      </c>
      <c r="T16" s="334"/>
      <c r="U16" s="131">
        <f t="shared" si="4"/>
        <v>50</v>
      </c>
      <c r="V16" s="337"/>
      <c r="W16" s="132">
        <f t="shared" si="1"/>
        <v>6</v>
      </c>
      <c r="X16" s="340"/>
      <c r="Y16" s="132">
        <f t="shared" si="5"/>
        <v>10</v>
      </c>
      <c r="Z16" s="337"/>
      <c r="AA16" s="73"/>
      <c r="AB16" s="74"/>
      <c r="AC16" s="75"/>
      <c r="AD16" s="75"/>
      <c r="AE16" s="76"/>
    </row>
    <row r="17" spans="1:41" s="77" customFormat="1" ht="40.5" x14ac:dyDescent="0.25">
      <c r="A17" s="389"/>
      <c r="B17" s="360"/>
      <c r="C17" s="65" t="s">
        <v>29</v>
      </c>
      <c r="D17" s="65" t="s">
        <v>125</v>
      </c>
      <c r="E17" s="66">
        <v>60</v>
      </c>
      <c r="F17" s="322"/>
      <c r="G17" s="66">
        <v>12</v>
      </c>
      <c r="H17" s="325"/>
      <c r="I17" s="66">
        <v>12</v>
      </c>
      <c r="J17" s="328"/>
      <c r="K17" s="69">
        <v>3</v>
      </c>
      <c r="L17" s="325"/>
      <c r="M17" s="69">
        <v>3</v>
      </c>
      <c r="N17" s="328"/>
      <c r="O17" s="71"/>
      <c r="P17" s="331"/>
      <c r="Q17" s="69"/>
      <c r="R17" s="331"/>
      <c r="S17" s="69">
        <f t="shared" si="3"/>
        <v>6</v>
      </c>
      <c r="T17" s="334"/>
      <c r="U17" s="131">
        <f t="shared" si="4"/>
        <v>50</v>
      </c>
      <c r="V17" s="337"/>
      <c r="W17" s="132">
        <f t="shared" si="1"/>
        <v>6</v>
      </c>
      <c r="X17" s="340"/>
      <c r="Y17" s="132">
        <f t="shared" si="5"/>
        <v>10</v>
      </c>
      <c r="Z17" s="337"/>
      <c r="AA17" s="73"/>
      <c r="AB17" s="74"/>
      <c r="AC17" s="75"/>
      <c r="AD17" s="75"/>
      <c r="AE17" s="76"/>
    </row>
    <row r="18" spans="1:41" s="77" customFormat="1" ht="40.5" x14ac:dyDescent="0.25">
      <c r="A18" s="389"/>
      <c r="B18" s="360"/>
      <c r="C18" s="65" t="s">
        <v>30</v>
      </c>
      <c r="D18" s="65" t="s">
        <v>125</v>
      </c>
      <c r="E18" s="66">
        <v>60</v>
      </c>
      <c r="F18" s="322"/>
      <c r="G18" s="66">
        <v>12</v>
      </c>
      <c r="H18" s="325"/>
      <c r="I18" s="66">
        <v>12</v>
      </c>
      <c r="J18" s="328"/>
      <c r="K18" s="69">
        <v>3</v>
      </c>
      <c r="L18" s="325"/>
      <c r="M18" s="69">
        <v>3</v>
      </c>
      <c r="N18" s="328"/>
      <c r="O18" s="71"/>
      <c r="P18" s="331"/>
      <c r="Q18" s="69"/>
      <c r="R18" s="331"/>
      <c r="S18" s="69">
        <f t="shared" si="3"/>
        <v>6</v>
      </c>
      <c r="T18" s="334"/>
      <c r="U18" s="131">
        <f t="shared" si="4"/>
        <v>50</v>
      </c>
      <c r="V18" s="337"/>
      <c r="W18" s="132">
        <f t="shared" si="1"/>
        <v>6</v>
      </c>
      <c r="X18" s="340"/>
      <c r="Y18" s="132">
        <f t="shared" si="5"/>
        <v>10</v>
      </c>
      <c r="Z18" s="337"/>
      <c r="AA18" s="73"/>
      <c r="AB18" s="74"/>
      <c r="AC18" s="75"/>
      <c r="AD18" s="75"/>
      <c r="AE18" s="76"/>
    </row>
    <row r="19" spans="1:41" s="77" customFormat="1" ht="20.25" x14ac:dyDescent="0.25">
      <c r="A19" s="389"/>
      <c r="B19" s="360"/>
      <c r="C19" s="65" t="s">
        <v>31</v>
      </c>
      <c r="D19" s="65" t="s">
        <v>125</v>
      </c>
      <c r="E19" s="66">
        <v>60</v>
      </c>
      <c r="F19" s="322"/>
      <c r="G19" s="66">
        <v>12</v>
      </c>
      <c r="H19" s="325"/>
      <c r="I19" s="66">
        <v>12</v>
      </c>
      <c r="J19" s="328"/>
      <c r="K19" s="69">
        <v>3</v>
      </c>
      <c r="L19" s="325"/>
      <c r="M19" s="69">
        <v>3</v>
      </c>
      <c r="N19" s="328"/>
      <c r="O19" s="71"/>
      <c r="P19" s="331"/>
      <c r="Q19" s="69"/>
      <c r="R19" s="331"/>
      <c r="S19" s="69">
        <f t="shared" si="3"/>
        <v>6</v>
      </c>
      <c r="T19" s="334"/>
      <c r="U19" s="131">
        <f t="shared" si="4"/>
        <v>50</v>
      </c>
      <c r="V19" s="337"/>
      <c r="W19" s="132">
        <f t="shared" si="1"/>
        <v>6</v>
      </c>
      <c r="X19" s="340"/>
      <c r="Y19" s="132">
        <f t="shared" si="5"/>
        <v>10</v>
      </c>
      <c r="Z19" s="337"/>
      <c r="AA19" s="73"/>
      <c r="AB19" s="74"/>
      <c r="AC19" s="75"/>
      <c r="AD19" s="75"/>
      <c r="AE19" s="76"/>
    </row>
    <row r="20" spans="1:41" s="77" customFormat="1" ht="40.5" x14ac:dyDescent="0.25">
      <c r="A20" s="390"/>
      <c r="B20" s="391"/>
      <c r="C20" s="65" t="s">
        <v>32</v>
      </c>
      <c r="D20" s="65" t="s">
        <v>125</v>
      </c>
      <c r="E20" s="66">
        <v>60</v>
      </c>
      <c r="F20" s="323"/>
      <c r="G20" s="66">
        <v>12</v>
      </c>
      <c r="H20" s="326"/>
      <c r="I20" s="66">
        <v>12</v>
      </c>
      <c r="J20" s="329"/>
      <c r="K20" s="69">
        <v>3</v>
      </c>
      <c r="L20" s="326"/>
      <c r="M20" s="69">
        <v>3</v>
      </c>
      <c r="N20" s="329"/>
      <c r="O20" s="71"/>
      <c r="P20" s="332"/>
      <c r="Q20" s="69"/>
      <c r="R20" s="332"/>
      <c r="S20" s="69">
        <f t="shared" si="3"/>
        <v>6</v>
      </c>
      <c r="T20" s="335"/>
      <c r="U20" s="131">
        <f t="shared" si="4"/>
        <v>50</v>
      </c>
      <c r="V20" s="338"/>
      <c r="W20" s="132">
        <f t="shared" ref="W20" si="6">S20</f>
        <v>6</v>
      </c>
      <c r="X20" s="341"/>
      <c r="Y20" s="132">
        <f t="shared" si="5"/>
        <v>10</v>
      </c>
      <c r="Z20" s="338"/>
      <c r="AA20" s="73"/>
      <c r="AB20" s="74"/>
      <c r="AC20" s="75"/>
      <c r="AD20" s="75"/>
      <c r="AE20" s="76"/>
    </row>
    <row r="21" spans="1:41" s="77" customFormat="1" ht="69.75" customHeight="1" x14ac:dyDescent="0.25">
      <c r="A21" s="79" t="s">
        <v>134</v>
      </c>
      <c r="B21" s="80" t="s">
        <v>33</v>
      </c>
      <c r="C21" s="65" t="s">
        <v>34</v>
      </c>
      <c r="D21" s="65" t="s">
        <v>126</v>
      </c>
      <c r="E21" s="66">
        <v>7</v>
      </c>
      <c r="F21" s="67">
        <f>416000000+(475000000*4)</f>
        <v>2316000000</v>
      </c>
      <c r="G21" s="66">
        <v>2</v>
      </c>
      <c r="H21" s="68">
        <v>0</v>
      </c>
      <c r="I21" s="66">
        <v>2</v>
      </c>
      <c r="J21" s="81">
        <v>416000000</v>
      </c>
      <c r="K21" s="69">
        <v>2</v>
      </c>
      <c r="L21" s="70">
        <v>415230000</v>
      </c>
      <c r="M21" s="71">
        <v>0</v>
      </c>
      <c r="N21" s="70">
        <f>415750000-415230000</f>
        <v>520000</v>
      </c>
      <c r="O21" s="71"/>
      <c r="P21" s="70"/>
      <c r="Q21" s="69"/>
      <c r="R21" s="70"/>
      <c r="S21" s="69">
        <f t="shared" si="3"/>
        <v>2</v>
      </c>
      <c r="T21" s="72">
        <f t="shared" ref="T21:T30" si="7">L21+N21+P21+R21</f>
        <v>415750000</v>
      </c>
      <c r="U21" s="73">
        <f t="shared" ref="U21:U30" si="8">S21/I21*100</f>
        <v>100</v>
      </c>
      <c r="V21" s="74">
        <f t="shared" ref="V21:V30" si="9">T21/J21*100</f>
        <v>99.93990384615384</v>
      </c>
      <c r="W21" s="74">
        <f t="shared" ref="W21:W30" si="10">S21</f>
        <v>2</v>
      </c>
      <c r="X21" s="78">
        <f t="shared" ref="X21:X30" si="11">T21</f>
        <v>415750000</v>
      </c>
      <c r="Y21" s="74">
        <f t="shared" ref="Y21:Y30" si="12">W21/E21*100</f>
        <v>28.571428571428569</v>
      </c>
      <c r="Z21" s="74">
        <f t="shared" ref="Z21:Z64" si="13">X21/F21*100</f>
        <v>17.951208981001727</v>
      </c>
      <c r="AA21" s="73"/>
      <c r="AB21" s="74"/>
      <c r="AC21" s="75"/>
      <c r="AD21" s="75"/>
      <c r="AE21" s="76"/>
    </row>
    <row r="22" spans="1:41" s="77" customFormat="1" ht="58.5" customHeight="1" x14ac:dyDescent="0.25">
      <c r="A22" s="388" t="s">
        <v>135</v>
      </c>
      <c r="B22" s="359" t="s">
        <v>35</v>
      </c>
      <c r="C22" s="65" t="s">
        <v>36</v>
      </c>
      <c r="D22" s="65" t="s">
        <v>127</v>
      </c>
      <c r="E22" s="66">
        <v>20</v>
      </c>
      <c r="F22" s="348">
        <f>439000000+(500000000*4)</f>
        <v>2439000000</v>
      </c>
      <c r="G22" s="66">
        <v>4</v>
      </c>
      <c r="H22" s="327">
        <v>638246000</v>
      </c>
      <c r="I22" s="66">
        <v>4</v>
      </c>
      <c r="J22" s="327">
        <v>439000000</v>
      </c>
      <c r="K22" s="70">
        <v>0</v>
      </c>
      <c r="L22" s="327">
        <v>58000000</v>
      </c>
      <c r="M22" s="70">
        <v>0</v>
      </c>
      <c r="N22" s="327">
        <f>180100000-L22</f>
        <v>122100000</v>
      </c>
      <c r="O22" s="71"/>
      <c r="P22" s="330"/>
      <c r="Q22" s="69"/>
      <c r="R22" s="330"/>
      <c r="S22" s="69">
        <f t="shared" si="3"/>
        <v>0</v>
      </c>
      <c r="T22" s="333">
        <f t="shared" si="7"/>
        <v>180100000</v>
      </c>
      <c r="U22" s="73">
        <f t="shared" si="8"/>
        <v>0</v>
      </c>
      <c r="V22" s="336">
        <f t="shared" si="9"/>
        <v>41.025056947608199</v>
      </c>
      <c r="W22" s="74">
        <f t="shared" si="10"/>
        <v>0</v>
      </c>
      <c r="X22" s="339">
        <f t="shared" si="11"/>
        <v>180100000</v>
      </c>
      <c r="Y22" s="74">
        <f t="shared" si="12"/>
        <v>0</v>
      </c>
      <c r="Z22" s="336">
        <f t="shared" si="13"/>
        <v>7.3841738417384173</v>
      </c>
      <c r="AA22" s="73"/>
      <c r="AB22" s="74"/>
      <c r="AC22" s="75"/>
      <c r="AD22" s="75"/>
      <c r="AE22" s="76"/>
    </row>
    <row r="23" spans="1:41" s="77" customFormat="1" ht="53.25" customHeight="1" x14ac:dyDescent="0.25">
      <c r="A23" s="389"/>
      <c r="B23" s="360"/>
      <c r="C23" s="65" t="s">
        <v>39</v>
      </c>
      <c r="D23" s="65" t="s">
        <v>126</v>
      </c>
      <c r="E23" s="66">
        <v>58</v>
      </c>
      <c r="F23" s="349"/>
      <c r="G23" s="66">
        <v>9</v>
      </c>
      <c r="H23" s="328"/>
      <c r="I23" s="66">
        <v>9</v>
      </c>
      <c r="J23" s="328"/>
      <c r="K23" s="69">
        <v>4</v>
      </c>
      <c r="L23" s="328"/>
      <c r="M23" s="69">
        <v>4</v>
      </c>
      <c r="N23" s="328"/>
      <c r="O23" s="71"/>
      <c r="P23" s="331"/>
      <c r="Q23" s="69"/>
      <c r="R23" s="331"/>
      <c r="S23" s="69">
        <f t="shared" si="3"/>
        <v>8</v>
      </c>
      <c r="T23" s="334"/>
      <c r="U23" s="73">
        <f t="shared" si="8"/>
        <v>88.888888888888886</v>
      </c>
      <c r="V23" s="337"/>
      <c r="W23" s="74">
        <f t="shared" si="10"/>
        <v>8</v>
      </c>
      <c r="X23" s="340"/>
      <c r="Y23" s="74">
        <f t="shared" si="12"/>
        <v>13.793103448275861</v>
      </c>
      <c r="Z23" s="337"/>
      <c r="AA23" s="73"/>
      <c r="AB23" s="74"/>
      <c r="AC23" s="75"/>
      <c r="AD23" s="75"/>
      <c r="AE23" s="76"/>
    </row>
    <row r="24" spans="1:41" s="77" customFormat="1" ht="60.75" x14ac:dyDescent="0.25">
      <c r="A24" s="389"/>
      <c r="B24" s="360"/>
      <c r="C24" s="82" t="s">
        <v>40</v>
      </c>
      <c r="D24" s="82" t="s">
        <v>126</v>
      </c>
      <c r="E24" s="66">
        <v>55</v>
      </c>
      <c r="F24" s="349"/>
      <c r="G24" s="66">
        <v>11</v>
      </c>
      <c r="H24" s="328"/>
      <c r="I24" s="66">
        <v>11</v>
      </c>
      <c r="J24" s="328"/>
      <c r="K24" s="69">
        <v>2</v>
      </c>
      <c r="L24" s="328"/>
      <c r="M24" s="69">
        <v>2</v>
      </c>
      <c r="N24" s="328"/>
      <c r="O24" s="71"/>
      <c r="P24" s="331"/>
      <c r="Q24" s="69"/>
      <c r="R24" s="331"/>
      <c r="S24" s="69">
        <f t="shared" si="3"/>
        <v>4</v>
      </c>
      <c r="T24" s="334"/>
      <c r="U24" s="73">
        <f t="shared" si="8"/>
        <v>36.363636363636367</v>
      </c>
      <c r="V24" s="337"/>
      <c r="W24" s="74">
        <f t="shared" si="10"/>
        <v>4</v>
      </c>
      <c r="X24" s="340"/>
      <c r="Y24" s="74">
        <f t="shared" si="12"/>
        <v>7.2727272727272725</v>
      </c>
      <c r="Z24" s="337"/>
      <c r="AA24" s="73"/>
      <c r="AB24" s="74"/>
      <c r="AC24" s="75"/>
      <c r="AD24" s="75"/>
      <c r="AE24" s="76"/>
    </row>
    <row r="25" spans="1:41" s="77" customFormat="1" ht="40.5" x14ac:dyDescent="0.25">
      <c r="A25" s="389"/>
      <c r="B25" s="360"/>
      <c r="C25" s="65" t="s">
        <v>37</v>
      </c>
      <c r="D25" s="82" t="s">
        <v>126</v>
      </c>
      <c r="E25" s="66">
        <v>418</v>
      </c>
      <c r="F25" s="349"/>
      <c r="G25" s="66">
        <v>75</v>
      </c>
      <c r="H25" s="328"/>
      <c r="I25" s="66">
        <v>39</v>
      </c>
      <c r="J25" s="328"/>
      <c r="K25" s="69">
        <v>10</v>
      </c>
      <c r="L25" s="328"/>
      <c r="M25" s="69">
        <v>10</v>
      </c>
      <c r="N25" s="328"/>
      <c r="O25" s="71"/>
      <c r="P25" s="331"/>
      <c r="Q25" s="69"/>
      <c r="R25" s="331"/>
      <c r="S25" s="69">
        <f t="shared" si="3"/>
        <v>20</v>
      </c>
      <c r="T25" s="334"/>
      <c r="U25" s="73">
        <f t="shared" si="8"/>
        <v>51.282051282051277</v>
      </c>
      <c r="V25" s="337"/>
      <c r="W25" s="74">
        <f t="shared" si="10"/>
        <v>20</v>
      </c>
      <c r="X25" s="340"/>
      <c r="Y25" s="74">
        <f t="shared" si="12"/>
        <v>4.7846889952153111</v>
      </c>
      <c r="Z25" s="337"/>
      <c r="AA25" s="73"/>
      <c r="AB25" s="74"/>
      <c r="AC25" s="75"/>
      <c r="AD25" s="75"/>
      <c r="AE25" s="76"/>
    </row>
    <row r="26" spans="1:41" s="77" customFormat="1" ht="39" customHeight="1" x14ac:dyDescent="0.25">
      <c r="A26" s="390"/>
      <c r="B26" s="391"/>
      <c r="C26" s="65" t="s">
        <v>38</v>
      </c>
      <c r="D26" s="82" t="s">
        <v>126</v>
      </c>
      <c r="E26" s="66">
        <v>192</v>
      </c>
      <c r="F26" s="350"/>
      <c r="G26" s="66">
        <v>30</v>
      </c>
      <c r="H26" s="329"/>
      <c r="I26" s="66">
        <v>37</v>
      </c>
      <c r="J26" s="329"/>
      <c r="K26" s="69">
        <v>10</v>
      </c>
      <c r="L26" s="329"/>
      <c r="M26" s="69">
        <v>10</v>
      </c>
      <c r="N26" s="329"/>
      <c r="O26" s="71"/>
      <c r="P26" s="332"/>
      <c r="Q26" s="69"/>
      <c r="R26" s="332"/>
      <c r="S26" s="69">
        <f t="shared" si="3"/>
        <v>20</v>
      </c>
      <c r="T26" s="335"/>
      <c r="U26" s="73">
        <f t="shared" si="8"/>
        <v>54.054054054054056</v>
      </c>
      <c r="V26" s="338"/>
      <c r="W26" s="74">
        <f t="shared" si="10"/>
        <v>20</v>
      </c>
      <c r="X26" s="341"/>
      <c r="Y26" s="74">
        <f t="shared" si="12"/>
        <v>10.416666666666668</v>
      </c>
      <c r="Z26" s="338"/>
      <c r="AA26" s="73"/>
      <c r="AB26" s="74"/>
      <c r="AC26" s="75"/>
      <c r="AD26" s="75"/>
      <c r="AE26" s="76"/>
    </row>
    <row r="27" spans="1:41" s="77" customFormat="1" ht="99.75" customHeight="1" x14ac:dyDescent="0.25">
      <c r="A27" s="83" t="s">
        <v>136</v>
      </c>
      <c r="B27" s="84" t="s">
        <v>41</v>
      </c>
      <c r="C27" s="69" t="s">
        <v>42</v>
      </c>
      <c r="D27" s="69" t="s">
        <v>128</v>
      </c>
      <c r="E27" s="66">
        <v>17</v>
      </c>
      <c r="F27" s="67">
        <f>80000000+(110000000*4)</f>
        <v>520000000</v>
      </c>
      <c r="G27" s="66">
        <v>1</v>
      </c>
      <c r="H27" s="68">
        <v>0</v>
      </c>
      <c r="I27" s="66">
        <v>1</v>
      </c>
      <c r="J27" s="68">
        <v>80000000</v>
      </c>
      <c r="K27" s="66">
        <v>0</v>
      </c>
      <c r="L27" s="66">
        <v>0</v>
      </c>
      <c r="M27" s="66">
        <v>0</v>
      </c>
      <c r="N27" s="68">
        <v>11000000</v>
      </c>
      <c r="O27" s="71"/>
      <c r="P27" s="70"/>
      <c r="Q27" s="69"/>
      <c r="R27" s="70"/>
      <c r="S27" s="69">
        <f t="shared" si="3"/>
        <v>0</v>
      </c>
      <c r="T27" s="72">
        <f t="shared" si="7"/>
        <v>11000000</v>
      </c>
      <c r="U27" s="73">
        <f t="shared" si="8"/>
        <v>0</v>
      </c>
      <c r="V27" s="74">
        <f t="shared" si="9"/>
        <v>13.750000000000002</v>
      </c>
      <c r="W27" s="74">
        <f t="shared" si="10"/>
        <v>0</v>
      </c>
      <c r="X27" s="78">
        <f t="shared" si="11"/>
        <v>11000000</v>
      </c>
      <c r="Y27" s="74">
        <f t="shared" si="12"/>
        <v>0</v>
      </c>
      <c r="Z27" s="74">
        <f t="shared" si="13"/>
        <v>2.1153846153846154</v>
      </c>
      <c r="AA27" s="73"/>
      <c r="AB27" s="74"/>
      <c r="AC27" s="75"/>
      <c r="AD27" s="75"/>
      <c r="AE27" s="76"/>
    </row>
    <row r="28" spans="1:41" s="77" customFormat="1" ht="56.25" customHeight="1" x14ac:dyDescent="0.25">
      <c r="A28" s="83" t="s">
        <v>137</v>
      </c>
      <c r="B28" s="84" t="s">
        <v>43</v>
      </c>
      <c r="C28" s="69" t="s">
        <v>44</v>
      </c>
      <c r="D28" s="69" t="s">
        <v>129</v>
      </c>
      <c r="E28" s="66">
        <v>18</v>
      </c>
      <c r="F28" s="67">
        <f>50000000+(60000000*4)</f>
        <v>290000000</v>
      </c>
      <c r="G28" s="66">
        <v>3</v>
      </c>
      <c r="H28" s="68">
        <v>46280000</v>
      </c>
      <c r="I28" s="66">
        <v>6</v>
      </c>
      <c r="J28" s="68">
        <v>50000000</v>
      </c>
      <c r="K28" s="69">
        <v>1</v>
      </c>
      <c r="L28" s="70">
        <v>9600000</v>
      </c>
      <c r="M28" s="69">
        <v>1</v>
      </c>
      <c r="N28" s="70">
        <f>13350000-L28</f>
        <v>3750000</v>
      </c>
      <c r="O28" s="71"/>
      <c r="P28" s="70"/>
      <c r="Q28" s="69"/>
      <c r="R28" s="70"/>
      <c r="S28" s="69">
        <f t="shared" si="3"/>
        <v>2</v>
      </c>
      <c r="T28" s="72">
        <f t="shared" si="7"/>
        <v>13350000</v>
      </c>
      <c r="U28" s="73">
        <f t="shared" si="8"/>
        <v>33.333333333333329</v>
      </c>
      <c r="V28" s="74">
        <f t="shared" si="9"/>
        <v>26.700000000000003</v>
      </c>
      <c r="W28" s="74">
        <f t="shared" si="10"/>
        <v>2</v>
      </c>
      <c r="X28" s="78">
        <f t="shared" si="11"/>
        <v>13350000</v>
      </c>
      <c r="Y28" s="74">
        <f t="shared" si="12"/>
        <v>11.111111111111111</v>
      </c>
      <c r="Z28" s="74">
        <f t="shared" si="13"/>
        <v>4.6034482758620685</v>
      </c>
      <c r="AA28" s="73"/>
      <c r="AB28" s="74"/>
      <c r="AC28" s="75"/>
      <c r="AD28" s="75"/>
      <c r="AE28" s="76"/>
    </row>
    <row r="29" spans="1:41" s="77" customFormat="1" ht="59.25" customHeight="1" x14ac:dyDescent="0.25">
      <c r="A29" s="83" t="s">
        <v>138</v>
      </c>
      <c r="B29" s="84" t="s">
        <v>45</v>
      </c>
      <c r="C29" s="69" t="s">
        <v>46</v>
      </c>
      <c r="D29" s="69" t="s">
        <v>125</v>
      </c>
      <c r="E29" s="66">
        <v>60</v>
      </c>
      <c r="F29" s="67">
        <f>45000000+(60000000*4)</f>
        <v>285000000</v>
      </c>
      <c r="G29" s="66">
        <v>12</v>
      </c>
      <c r="H29" s="68">
        <v>40483000</v>
      </c>
      <c r="I29" s="66">
        <v>12</v>
      </c>
      <c r="J29" s="68">
        <v>45000000</v>
      </c>
      <c r="K29" s="69">
        <v>3</v>
      </c>
      <c r="L29" s="70">
        <v>7500000</v>
      </c>
      <c r="M29" s="69">
        <v>3</v>
      </c>
      <c r="N29" s="70">
        <f>18500000-L29</f>
        <v>11000000</v>
      </c>
      <c r="O29" s="71"/>
      <c r="P29" s="70"/>
      <c r="Q29" s="69"/>
      <c r="R29" s="70"/>
      <c r="S29" s="69">
        <f t="shared" si="3"/>
        <v>6</v>
      </c>
      <c r="T29" s="72">
        <f t="shared" si="7"/>
        <v>18500000</v>
      </c>
      <c r="U29" s="73">
        <f t="shared" si="8"/>
        <v>50</v>
      </c>
      <c r="V29" s="74">
        <f t="shared" si="9"/>
        <v>41.111111111111107</v>
      </c>
      <c r="W29" s="74">
        <f t="shared" si="10"/>
        <v>6</v>
      </c>
      <c r="X29" s="78">
        <f t="shared" si="11"/>
        <v>18500000</v>
      </c>
      <c r="Y29" s="74">
        <f t="shared" si="12"/>
        <v>10</v>
      </c>
      <c r="Z29" s="74">
        <f t="shared" si="13"/>
        <v>6.4912280701754383</v>
      </c>
      <c r="AA29" s="73"/>
      <c r="AB29" s="74"/>
      <c r="AC29" s="75"/>
      <c r="AD29" s="75"/>
      <c r="AE29" s="76"/>
    </row>
    <row r="30" spans="1:41" s="77" customFormat="1" ht="81" x14ac:dyDescent="0.25">
      <c r="A30" s="83" t="s">
        <v>139</v>
      </c>
      <c r="B30" s="84" t="s">
        <v>47</v>
      </c>
      <c r="C30" s="69" t="s">
        <v>48</v>
      </c>
      <c r="D30" s="69" t="s">
        <v>125</v>
      </c>
      <c r="E30" s="66">
        <v>60</v>
      </c>
      <c r="F30" s="67">
        <f>290000000+(300000000*4)</f>
        <v>1490000000</v>
      </c>
      <c r="G30" s="66">
        <v>12</v>
      </c>
      <c r="H30" s="68">
        <f>194706322+29630000</f>
        <v>224336322</v>
      </c>
      <c r="I30" s="66">
        <v>12</v>
      </c>
      <c r="J30" s="68">
        <v>290000000</v>
      </c>
      <c r="K30" s="69">
        <v>3</v>
      </c>
      <c r="L30" s="70">
        <v>22471500</v>
      </c>
      <c r="M30" s="69">
        <v>3</v>
      </c>
      <c r="N30" s="70">
        <f>84278680-L30</f>
        <v>61807180</v>
      </c>
      <c r="O30" s="71"/>
      <c r="P30" s="70"/>
      <c r="Q30" s="69"/>
      <c r="R30" s="70"/>
      <c r="S30" s="69">
        <f t="shared" si="3"/>
        <v>6</v>
      </c>
      <c r="T30" s="72">
        <f t="shared" si="7"/>
        <v>84278680</v>
      </c>
      <c r="U30" s="73">
        <f t="shared" si="8"/>
        <v>50</v>
      </c>
      <c r="V30" s="74">
        <f t="shared" si="9"/>
        <v>29.061613793103447</v>
      </c>
      <c r="W30" s="74">
        <f t="shared" si="10"/>
        <v>6</v>
      </c>
      <c r="X30" s="78">
        <f t="shared" si="11"/>
        <v>84278680</v>
      </c>
      <c r="Y30" s="74">
        <f t="shared" si="12"/>
        <v>10</v>
      </c>
      <c r="Z30" s="74">
        <f t="shared" si="13"/>
        <v>5.6562872483221476</v>
      </c>
      <c r="AA30" s="73"/>
      <c r="AB30" s="74"/>
      <c r="AC30" s="75"/>
      <c r="AD30" s="75"/>
      <c r="AE30" s="76"/>
    </row>
    <row r="31" spans="1:41" s="135" customFormat="1" ht="49.5" customHeight="1" x14ac:dyDescent="0.25">
      <c r="A31" s="285" t="s">
        <v>183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6"/>
      <c r="U31" s="133">
        <f>AVERAGE(U19:U30)</f>
        <v>46.99349699349699</v>
      </c>
      <c r="V31" s="133">
        <f t="shared" ref="V31:Z31" si="14">AVERAGE(V19:V30)</f>
        <v>41.931280949662764</v>
      </c>
      <c r="W31" s="133">
        <f t="shared" si="14"/>
        <v>6.666666666666667</v>
      </c>
      <c r="X31" s="133"/>
      <c r="Y31" s="133">
        <f t="shared" si="14"/>
        <v>9.6624771721187326</v>
      </c>
      <c r="Z31" s="133">
        <f t="shared" si="14"/>
        <v>7.3669551720807362</v>
      </c>
      <c r="AA31" s="90"/>
      <c r="AB31" s="87"/>
      <c r="AC31" s="86"/>
      <c r="AD31" s="86"/>
      <c r="AE31" s="134"/>
    </row>
    <row r="32" spans="1:41" s="142" customFormat="1" ht="67.5" customHeight="1" x14ac:dyDescent="0.25">
      <c r="A32" s="399" t="s">
        <v>132</v>
      </c>
      <c r="B32" s="361" t="s">
        <v>49</v>
      </c>
      <c r="C32" s="129" t="s">
        <v>50</v>
      </c>
      <c r="D32" s="143" t="s">
        <v>124</v>
      </c>
      <c r="E32" s="136">
        <v>100</v>
      </c>
      <c r="F32" s="354">
        <f>F34+F35</f>
        <v>90000000</v>
      </c>
      <c r="G32" s="136">
        <v>100</v>
      </c>
      <c r="H32" s="354">
        <f>H34+H35</f>
        <v>10662000</v>
      </c>
      <c r="I32" s="136">
        <v>100</v>
      </c>
      <c r="J32" s="354">
        <f>J34+J35</f>
        <v>14000000</v>
      </c>
      <c r="K32" s="130">
        <f>(K34+K35)/(I34+I35)*100</f>
        <v>40</v>
      </c>
      <c r="L32" s="290">
        <f>L34+L35</f>
        <v>6300000</v>
      </c>
      <c r="M32" s="130"/>
      <c r="N32" s="287"/>
      <c r="O32" s="130"/>
      <c r="P32" s="287"/>
      <c r="Q32" s="144"/>
      <c r="R32" s="287"/>
      <c r="S32" s="144">
        <f>K32+M32+O32+Q32</f>
        <v>40</v>
      </c>
      <c r="T32" s="290">
        <f>L32+N32+P32+R32</f>
        <v>6300000</v>
      </c>
      <c r="U32" s="144">
        <f>S32/I32*100</f>
        <v>40</v>
      </c>
      <c r="V32" s="290">
        <f>T32/J32*100</f>
        <v>45</v>
      </c>
      <c r="W32" s="144">
        <f>S32</f>
        <v>40</v>
      </c>
      <c r="X32" s="290">
        <f>T32</f>
        <v>6300000</v>
      </c>
      <c r="Y32" s="144">
        <f>W32/E32*100</f>
        <v>40</v>
      </c>
      <c r="Z32" s="376">
        <f>X32/F32*100</f>
        <v>7.0000000000000009</v>
      </c>
      <c r="AA32" s="144"/>
      <c r="AB32" s="144"/>
      <c r="AC32" s="144"/>
      <c r="AD32" s="144"/>
      <c r="AE32" s="145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</row>
    <row r="33" spans="1:41" s="142" customFormat="1" ht="101.25" customHeight="1" x14ac:dyDescent="0.25">
      <c r="A33" s="401"/>
      <c r="B33" s="363"/>
      <c r="C33" s="129" t="s">
        <v>51</v>
      </c>
      <c r="D33" s="143" t="s">
        <v>124</v>
      </c>
      <c r="E33" s="136">
        <v>90</v>
      </c>
      <c r="F33" s="356"/>
      <c r="G33" s="136">
        <v>90</v>
      </c>
      <c r="H33" s="356"/>
      <c r="I33" s="136">
        <v>90</v>
      </c>
      <c r="J33" s="356"/>
      <c r="K33" s="130">
        <v>90</v>
      </c>
      <c r="L33" s="289"/>
      <c r="M33" s="130"/>
      <c r="N33" s="289"/>
      <c r="O33" s="130"/>
      <c r="P33" s="289"/>
      <c r="Q33" s="144"/>
      <c r="R33" s="289"/>
      <c r="S33" s="144">
        <f t="shared" ref="S33:S35" si="15">K33+M33+O33+Q33</f>
        <v>90</v>
      </c>
      <c r="T33" s="289"/>
      <c r="U33" s="144">
        <f t="shared" ref="U33:U35" si="16">S33/I33*100</f>
        <v>100</v>
      </c>
      <c r="V33" s="371"/>
      <c r="W33" s="144">
        <f>S33</f>
        <v>90</v>
      </c>
      <c r="X33" s="371"/>
      <c r="Y33" s="144">
        <f>W33/E33*100</f>
        <v>100</v>
      </c>
      <c r="Z33" s="377"/>
      <c r="AA33" s="144"/>
      <c r="AB33" s="144"/>
      <c r="AC33" s="144"/>
      <c r="AD33" s="144"/>
      <c r="AE33" s="145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</row>
    <row r="34" spans="1:41" s="77" customFormat="1" ht="101.25" customHeight="1" x14ac:dyDescent="0.25">
      <c r="A34" s="83" t="s">
        <v>140</v>
      </c>
      <c r="B34" s="88" t="s">
        <v>52</v>
      </c>
      <c r="C34" s="65" t="s">
        <v>54</v>
      </c>
      <c r="D34" s="65" t="s">
        <v>129</v>
      </c>
      <c r="E34" s="66">
        <v>20</v>
      </c>
      <c r="F34" s="67">
        <v>45000000</v>
      </c>
      <c r="G34" s="66">
        <v>4</v>
      </c>
      <c r="H34" s="68">
        <v>5770000</v>
      </c>
      <c r="I34" s="66">
        <v>4</v>
      </c>
      <c r="J34" s="68">
        <v>7000000</v>
      </c>
      <c r="K34" s="69">
        <v>1</v>
      </c>
      <c r="L34" s="70">
        <v>0</v>
      </c>
      <c r="M34" s="71">
        <v>0</v>
      </c>
      <c r="N34" s="70"/>
      <c r="O34" s="71"/>
      <c r="P34" s="70"/>
      <c r="Q34" s="69"/>
      <c r="R34" s="70"/>
      <c r="S34" s="140">
        <f t="shared" si="15"/>
        <v>1</v>
      </c>
      <c r="T34" s="72">
        <f>L34+N34+P34+R34</f>
        <v>0</v>
      </c>
      <c r="U34" s="140">
        <f t="shared" si="16"/>
        <v>25</v>
      </c>
      <c r="V34" s="132">
        <f>T34/J34*100</f>
        <v>0</v>
      </c>
      <c r="W34" s="74">
        <f>S34</f>
        <v>1</v>
      </c>
      <c r="X34" s="78">
        <f>T34</f>
        <v>0</v>
      </c>
      <c r="Y34" s="74">
        <f>W34/E34*100</f>
        <v>5</v>
      </c>
      <c r="Z34" s="74">
        <f>X34/F34*100</f>
        <v>0</v>
      </c>
      <c r="AA34" s="73"/>
      <c r="AB34" s="74"/>
      <c r="AC34" s="75"/>
      <c r="AD34" s="75"/>
      <c r="AE34" s="76"/>
    </row>
    <row r="35" spans="1:41" s="77" customFormat="1" ht="96" customHeight="1" x14ac:dyDescent="0.25">
      <c r="A35" s="83" t="s">
        <v>141</v>
      </c>
      <c r="B35" s="89" t="s">
        <v>53</v>
      </c>
      <c r="C35" s="65" t="s">
        <v>55</v>
      </c>
      <c r="D35" s="65" t="s">
        <v>129</v>
      </c>
      <c r="E35" s="65">
        <v>5</v>
      </c>
      <c r="F35" s="67">
        <v>45000000</v>
      </c>
      <c r="G35" s="71">
        <v>1</v>
      </c>
      <c r="H35" s="68">
        <v>4892000</v>
      </c>
      <c r="I35" s="71">
        <v>1</v>
      </c>
      <c r="J35" s="68">
        <v>7000000</v>
      </c>
      <c r="K35" s="69">
        <v>1</v>
      </c>
      <c r="L35" s="70">
        <v>6300000</v>
      </c>
      <c r="M35" s="71">
        <v>0</v>
      </c>
      <c r="N35" s="70"/>
      <c r="O35" s="71"/>
      <c r="P35" s="70"/>
      <c r="Q35" s="69"/>
      <c r="R35" s="70"/>
      <c r="S35" s="140">
        <f t="shared" si="15"/>
        <v>1</v>
      </c>
      <c r="T35" s="72">
        <f>L35+N35+P35+R35</f>
        <v>6300000</v>
      </c>
      <c r="U35" s="140">
        <f t="shared" si="16"/>
        <v>100</v>
      </c>
      <c r="V35" s="132">
        <f>T35/J35*100</f>
        <v>90</v>
      </c>
      <c r="W35" s="74">
        <f>S35</f>
        <v>1</v>
      </c>
      <c r="X35" s="78">
        <f>T35</f>
        <v>6300000</v>
      </c>
      <c r="Y35" s="74">
        <f>W35/E35*100</f>
        <v>20</v>
      </c>
      <c r="Z35" s="74">
        <f>X35/F35*100</f>
        <v>14.000000000000002</v>
      </c>
      <c r="AA35" s="73"/>
      <c r="AB35" s="74"/>
      <c r="AC35" s="75"/>
      <c r="AD35" s="75"/>
      <c r="AE35" s="76"/>
    </row>
    <row r="36" spans="1:41" s="77" customFormat="1" ht="46.5" customHeight="1" x14ac:dyDescent="0.25">
      <c r="A36" s="285" t="s">
        <v>183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6"/>
      <c r="U36" s="147">
        <f>AVERAGE(U34:U35)</f>
        <v>62.5</v>
      </c>
      <c r="V36" s="147">
        <f t="shared" ref="V36:Z36" si="17">AVERAGE(V34:V35)</f>
        <v>45</v>
      </c>
      <c r="W36" s="147">
        <f t="shared" si="17"/>
        <v>1</v>
      </c>
      <c r="X36" s="133">
        <f t="shared" si="17"/>
        <v>3150000</v>
      </c>
      <c r="Y36" s="147">
        <f t="shared" si="17"/>
        <v>12.5</v>
      </c>
      <c r="Z36" s="147">
        <f t="shared" si="17"/>
        <v>7.0000000000000009</v>
      </c>
      <c r="AA36" s="147"/>
      <c r="AB36" s="148"/>
      <c r="AC36" s="75"/>
      <c r="AD36" s="75"/>
      <c r="AE36" s="76"/>
    </row>
    <row r="37" spans="1:41" s="77" customFormat="1" ht="96.75" customHeight="1" x14ac:dyDescent="0.25">
      <c r="A37" s="399" t="s">
        <v>142</v>
      </c>
      <c r="B37" s="361" t="s">
        <v>56</v>
      </c>
      <c r="C37" s="129" t="s">
        <v>57</v>
      </c>
      <c r="D37" s="143" t="s">
        <v>124</v>
      </c>
      <c r="E37" s="136">
        <v>100</v>
      </c>
      <c r="F37" s="354">
        <f>SUM(F39:F43)</f>
        <v>1905000000</v>
      </c>
      <c r="G37" s="136">
        <v>100</v>
      </c>
      <c r="H37" s="354">
        <f>SUM(H39:H43)</f>
        <v>202293000</v>
      </c>
      <c r="I37" s="136">
        <v>100</v>
      </c>
      <c r="J37" s="354">
        <f>SUM(J39:J43)</f>
        <v>330000000</v>
      </c>
      <c r="K37" s="130">
        <f>(SUM(K39:K43)/SUM(I39:I43))*100</f>
        <v>52.941176470588239</v>
      </c>
      <c r="L37" s="290">
        <f>SUM(L39:L43)</f>
        <v>55008000</v>
      </c>
      <c r="M37" s="130">
        <f>(SUM(M39:M43)/SUM(K39:K43))*100</f>
        <v>33.333333333333329</v>
      </c>
      <c r="N37" s="290">
        <f>N39+N40+N41+N42+N43</f>
        <v>79745000</v>
      </c>
      <c r="O37" s="130"/>
      <c r="P37" s="287"/>
      <c r="Q37" s="130"/>
      <c r="R37" s="287"/>
      <c r="S37" s="129">
        <f>K37+M37+O37+Q37</f>
        <v>86.274509803921575</v>
      </c>
      <c r="T37" s="357">
        <f>L37+N37+P37+R37</f>
        <v>134753000</v>
      </c>
      <c r="U37" s="137">
        <f>S38/I37*100</f>
        <v>180</v>
      </c>
      <c r="V37" s="372">
        <f>T37/J37*100</f>
        <v>40.834242424242426</v>
      </c>
      <c r="W37" s="138">
        <f>S37</f>
        <v>86.274509803921575</v>
      </c>
      <c r="X37" s="374">
        <f>T37</f>
        <v>134753000</v>
      </c>
      <c r="Y37" s="138">
        <f>W37/E37*100</f>
        <v>86.274509803921575</v>
      </c>
      <c r="Z37" s="372">
        <f>X37/F37*100</f>
        <v>7.0736482939632541</v>
      </c>
      <c r="AA37" s="144"/>
      <c r="AB37" s="144"/>
      <c r="AC37" s="75"/>
      <c r="AD37" s="75"/>
      <c r="AE37" s="76"/>
    </row>
    <row r="38" spans="1:41" s="77" customFormat="1" ht="86.25" customHeight="1" x14ac:dyDescent="0.25">
      <c r="A38" s="401"/>
      <c r="B38" s="363"/>
      <c r="C38" s="129" t="s">
        <v>58</v>
      </c>
      <c r="D38" s="143" t="s">
        <v>124</v>
      </c>
      <c r="E38" s="136">
        <v>90</v>
      </c>
      <c r="F38" s="356"/>
      <c r="G38" s="136">
        <v>90</v>
      </c>
      <c r="H38" s="356"/>
      <c r="I38" s="136">
        <v>90</v>
      </c>
      <c r="J38" s="356"/>
      <c r="K38" s="130">
        <v>90</v>
      </c>
      <c r="L38" s="289"/>
      <c r="M38" s="130">
        <v>90</v>
      </c>
      <c r="N38" s="289"/>
      <c r="O38" s="130"/>
      <c r="P38" s="289"/>
      <c r="Q38" s="130"/>
      <c r="R38" s="289"/>
      <c r="S38" s="129">
        <f t="shared" ref="S38:S43" si="18">K38+M38+O38+Q38</f>
        <v>180</v>
      </c>
      <c r="T38" s="358"/>
      <c r="U38" s="159">
        <f>S38/I38*100</f>
        <v>200</v>
      </c>
      <c r="V38" s="373"/>
      <c r="W38" s="138">
        <f>S38</f>
        <v>180</v>
      </c>
      <c r="X38" s="375"/>
      <c r="Y38" s="138">
        <f>W38/E38*100</f>
        <v>200</v>
      </c>
      <c r="Z38" s="373"/>
      <c r="AA38" s="144"/>
      <c r="AB38" s="144"/>
      <c r="AC38" s="75"/>
      <c r="AD38" s="75"/>
      <c r="AE38" s="76"/>
    </row>
    <row r="39" spans="1:41" s="77" customFormat="1" ht="59.25" customHeight="1" x14ac:dyDescent="0.25">
      <c r="A39" s="83" t="s">
        <v>143</v>
      </c>
      <c r="B39" s="65" t="s">
        <v>59</v>
      </c>
      <c r="C39" s="69" t="s">
        <v>64</v>
      </c>
      <c r="D39" s="69" t="s">
        <v>129</v>
      </c>
      <c r="E39" s="65">
        <v>15</v>
      </c>
      <c r="F39" s="67">
        <v>465000000</v>
      </c>
      <c r="G39" s="91">
        <v>3</v>
      </c>
      <c r="H39" s="68">
        <f>34240000+50924000</f>
        <v>85164000</v>
      </c>
      <c r="I39" s="91">
        <v>3</v>
      </c>
      <c r="J39" s="68">
        <v>90000000</v>
      </c>
      <c r="K39" s="69">
        <v>1</v>
      </c>
      <c r="L39" s="68">
        <v>15978000</v>
      </c>
      <c r="M39" s="69">
        <v>1</v>
      </c>
      <c r="N39" s="68">
        <f>60519500-L39</f>
        <v>44541500</v>
      </c>
      <c r="O39" s="71"/>
      <c r="P39" s="70"/>
      <c r="Q39" s="69"/>
      <c r="R39" s="70"/>
      <c r="S39" s="71">
        <f t="shared" si="18"/>
        <v>2</v>
      </c>
      <c r="T39" s="149">
        <f>L39+N39+P39+R39</f>
        <v>60519500</v>
      </c>
      <c r="U39" s="150">
        <f>S39/I39*100</f>
        <v>66.666666666666657</v>
      </c>
      <c r="V39" s="141">
        <f>T39/J39*100</f>
        <v>67.24388888888889</v>
      </c>
      <c r="W39" s="151">
        <f t="shared" ref="W39:W43" si="19">S39</f>
        <v>2</v>
      </c>
      <c r="X39" s="152">
        <f t="shared" ref="X39:X88" si="20">T39</f>
        <v>60519500</v>
      </c>
      <c r="Y39" s="141">
        <f t="shared" ref="Y39:Y43" si="21">W39/E39*100</f>
        <v>13.333333333333334</v>
      </c>
      <c r="Z39" s="141">
        <f>X39/F39*100</f>
        <v>13.014946236559139</v>
      </c>
      <c r="AA39" s="73"/>
      <c r="AB39" s="74"/>
      <c r="AC39" s="75"/>
      <c r="AD39" s="75"/>
      <c r="AE39" s="76"/>
    </row>
    <row r="40" spans="1:41" s="77" customFormat="1" ht="47.25" customHeight="1" x14ac:dyDescent="0.25">
      <c r="A40" s="83" t="s">
        <v>144</v>
      </c>
      <c r="B40" s="65" t="s">
        <v>60</v>
      </c>
      <c r="C40" s="65" t="s">
        <v>65</v>
      </c>
      <c r="D40" s="69" t="s">
        <v>129</v>
      </c>
      <c r="E40" s="65">
        <v>20</v>
      </c>
      <c r="F40" s="67">
        <v>335000000</v>
      </c>
      <c r="G40" s="91">
        <v>4</v>
      </c>
      <c r="H40" s="68"/>
      <c r="I40" s="91">
        <v>4</v>
      </c>
      <c r="J40" s="68">
        <v>50000000</v>
      </c>
      <c r="K40" s="69">
        <v>2</v>
      </c>
      <c r="L40" s="68">
        <v>14165000</v>
      </c>
      <c r="M40" s="69">
        <v>1</v>
      </c>
      <c r="N40" s="68">
        <f>18982000-L40</f>
        <v>4817000</v>
      </c>
      <c r="O40" s="71"/>
      <c r="P40" s="70"/>
      <c r="Q40" s="69"/>
      <c r="R40" s="70"/>
      <c r="S40" s="71">
        <f t="shared" si="18"/>
        <v>3</v>
      </c>
      <c r="T40" s="149">
        <f t="shared" ref="T40:T43" si="22">L40+N40+P40+R40</f>
        <v>18982000</v>
      </c>
      <c r="U40" s="150">
        <f t="shared" ref="U40:U43" si="23">S40/I40*100</f>
        <v>75</v>
      </c>
      <c r="V40" s="141">
        <f t="shared" ref="V40:V43" si="24">T40/J40*100</f>
        <v>37.963999999999999</v>
      </c>
      <c r="W40" s="151">
        <f t="shared" si="19"/>
        <v>3</v>
      </c>
      <c r="X40" s="152">
        <f t="shared" si="20"/>
        <v>18982000</v>
      </c>
      <c r="Y40" s="151">
        <f t="shared" si="21"/>
        <v>15</v>
      </c>
      <c r="Z40" s="141">
        <f t="shared" ref="Z40:Z43" si="25">X40/F40*100</f>
        <v>5.6662686567164178</v>
      </c>
      <c r="AA40" s="73"/>
      <c r="AB40" s="74"/>
      <c r="AC40" s="75"/>
      <c r="AD40" s="75"/>
      <c r="AE40" s="76"/>
    </row>
    <row r="41" spans="1:41" s="77" customFormat="1" ht="43.5" customHeight="1" x14ac:dyDescent="0.25">
      <c r="A41" s="83" t="s">
        <v>146</v>
      </c>
      <c r="B41" s="65" t="s">
        <v>61</v>
      </c>
      <c r="C41" s="65" t="s">
        <v>66</v>
      </c>
      <c r="D41" s="69" t="s">
        <v>129</v>
      </c>
      <c r="E41" s="65">
        <v>20</v>
      </c>
      <c r="F41" s="67">
        <v>90000000</v>
      </c>
      <c r="G41" s="91">
        <v>4</v>
      </c>
      <c r="H41" s="68"/>
      <c r="I41" s="91">
        <v>4</v>
      </c>
      <c r="J41" s="68">
        <v>10000000</v>
      </c>
      <c r="K41" s="69">
        <v>1</v>
      </c>
      <c r="L41" s="68">
        <v>0</v>
      </c>
      <c r="M41" s="69">
        <v>1</v>
      </c>
      <c r="N41" s="68">
        <f>2500000</f>
        <v>2500000</v>
      </c>
      <c r="O41" s="71"/>
      <c r="P41" s="70"/>
      <c r="Q41" s="69"/>
      <c r="R41" s="70"/>
      <c r="S41" s="71">
        <f t="shared" si="18"/>
        <v>2</v>
      </c>
      <c r="T41" s="149">
        <f t="shared" si="22"/>
        <v>2500000</v>
      </c>
      <c r="U41" s="150">
        <f t="shared" si="23"/>
        <v>50</v>
      </c>
      <c r="V41" s="141">
        <f t="shared" si="24"/>
        <v>25</v>
      </c>
      <c r="W41" s="151">
        <f t="shared" si="19"/>
        <v>2</v>
      </c>
      <c r="X41" s="152">
        <f t="shared" si="20"/>
        <v>2500000</v>
      </c>
      <c r="Y41" s="151">
        <f t="shared" si="21"/>
        <v>10</v>
      </c>
      <c r="Z41" s="141">
        <f t="shared" si="25"/>
        <v>2.7777777777777777</v>
      </c>
      <c r="AA41" s="73"/>
      <c r="AB41" s="74"/>
      <c r="AC41" s="75"/>
      <c r="AD41" s="75"/>
      <c r="AE41" s="76"/>
    </row>
    <row r="42" spans="1:41" s="77" customFormat="1" ht="66.75" customHeight="1" x14ac:dyDescent="0.25">
      <c r="A42" s="83" t="s">
        <v>147</v>
      </c>
      <c r="B42" s="65" t="s">
        <v>62</v>
      </c>
      <c r="C42" s="65" t="s">
        <v>67</v>
      </c>
      <c r="D42" s="69" t="s">
        <v>129</v>
      </c>
      <c r="E42" s="65">
        <v>25</v>
      </c>
      <c r="F42" s="67">
        <v>680000000</v>
      </c>
      <c r="G42" s="91">
        <v>11</v>
      </c>
      <c r="H42" s="68">
        <v>70849000</v>
      </c>
      <c r="I42" s="91">
        <v>5</v>
      </c>
      <c r="J42" s="68">
        <v>120000000</v>
      </c>
      <c r="K42" s="69">
        <v>5</v>
      </c>
      <c r="L42" s="68">
        <v>24865000</v>
      </c>
      <c r="M42" s="69">
        <v>0</v>
      </c>
      <c r="N42" s="68">
        <f>52751500-L42</f>
        <v>27886500</v>
      </c>
      <c r="O42" s="71"/>
      <c r="P42" s="70"/>
      <c r="Q42" s="69"/>
      <c r="R42" s="70"/>
      <c r="S42" s="71">
        <f t="shared" si="18"/>
        <v>5</v>
      </c>
      <c r="T42" s="149">
        <f t="shared" si="22"/>
        <v>52751500</v>
      </c>
      <c r="U42" s="150">
        <f t="shared" si="23"/>
        <v>100</v>
      </c>
      <c r="V42" s="141">
        <f t="shared" si="24"/>
        <v>43.959583333333335</v>
      </c>
      <c r="W42" s="151">
        <f t="shared" si="19"/>
        <v>5</v>
      </c>
      <c r="X42" s="152">
        <f t="shared" si="20"/>
        <v>52751500</v>
      </c>
      <c r="Y42" s="151">
        <f t="shared" si="21"/>
        <v>20</v>
      </c>
      <c r="Z42" s="141">
        <f t="shared" si="25"/>
        <v>7.7575735294117649</v>
      </c>
      <c r="AA42" s="73"/>
      <c r="AB42" s="74"/>
      <c r="AC42" s="75"/>
      <c r="AD42" s="75"/>
      <c r="AE42" s="76"/>
    </row>
    <row r="43" spans="1:41" s="77" customFormat="1" ht="58.5" customHeight="1" x14ac:dyDescent="0.25">
      <c r="A43" s="83" t="s">
        <v>145</v>
      </c>
      <c r="B43" s="65" t="s">
        <v>63</v>
      </c>
      <c r="C43" s="65" t="s">
        <v>68</v>
      </c>
      <c r="D43" s="69" t="s">
        <v>129</v>
      </c>
      <c r="E43" s="65">
        <v>5</v>
      </c>
      <c r="F43" s="67">
        <v>335000000</v>
      </c>
      <c r="G43" s="91">
        <v>3</v>
      </c>
      <c r="H43" s="68">
        <v>46280000</v>
      </c>
      <c r="I43" s="91">
        <v>1</v>
      </c>
      <c r="J43" s="68">
        <v>60000000</v>
      </c>
      <c r="K43" s="70">
        <v>0</v>
      </c>
      <c r="L43" s="70">
        <v>0</v>
      </c>
      <c r="M43" s="70">
        <v>0</v>
      </c>
      <c r="N43" s="70">
        <v>0</v>
      </c>
      <c r="O43" s="71"/>
      <c r="P43" s="70"/>
      <c r="Q43" s="69"/>
      <c r="R43" s="70"/>
      <c r="S43" s="71">
        <f t="shared" si="18"/>
        <v>0</v>
      </c>
      <c r="T43" s="149">
        <f t="shared" si="22"/>
        <v>0</v>
      </c>
      <c r="U43" s="150">
        <f t="shared" si="23"/>
        <v>0</v>
      </c>
      <c r="V43" s="141">
        <f t="shared" si="24"/>
        <v>0</v>
      </c>
      <c r="W43" s="151">
        <f t="shared" si="19"/>
        <v>0</v>
      </c>
      <c r="X43" s="152">
        <f t="shared" si="20"/>
        <v>0</v>
      </c>
      <c r="Y43" s="151">
        <f t="shared" si="21"/>
        <v>0</v>
      </c>
      <c r="Z43" s="141">
        <f t="shared" si="25"/>
        <v>0</v>
      </c>
      <c r="AA43" s="73"/>
      <c r="AB43" s="74"/>
      <c r="AC43" s="75"/>
      <c r="AD43" s="75"/>
      <c r="AE43" s="76"/>
    </row>
    <row r="44" spans="1:41" s="77" customFormat="1" ht="58.5" customHeight="1" x14ac:dyDescent="0.25">
      <c r="A44" s="285" t="s">
        <v>183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6"/>
      <c r="U44" s="147">
        <f>AVERAGE(U39:U43)</f>
        <v>58.333333333333329</v>
      </c>
      <c r="V44" s="147">
        <f t="shared" ref="V44:Z44" si="26">AVERAGE(V39:V43)</f>
        <v>34.83349444444444</v>
      </c>
      <c r="W44" s="147">
        <f t="shared" si="26"/>
        <v>2.4</v>
      </c>
      <c r="X44" s="133"/>
      <c r="Y44" s="147">
        <f t="shared" si="26"/>
        <v>11.666666666666668</v>
      </c>
      <c r="Z44" s="147">
        <f t="shared" si="26"/>
        <v>5.8433132400930194</v>
      </c>
      <c r="AA44" s="147"/>
      <c r="AB44" s="148"/>
      <c r="AC44" s="75"/>
      <c r="AD44" s="75"/>
      <c r="AE44" s="76"/>
    </row>
    <row r="45" spans="1:41" s="77" customFormat="1" ht="58.5" customHeight="1" x14ac:dyDescent="0.25">
      <c r="A45" s="268" t="s">
        <v>184</v>
      </c>
      <c r="B45" s="268"/>
      <c r="C45" s="268"/>
      <c r="D45" s="268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4">
        <f>AVERAGE(U31,U36,U44)</f>
        <v>55.942276775610104</v>
      </c>
      <c r="V45" s="154">
        <f t="shared" ref="V45:Z45" si="27">AVERAGE(V31,V36,V44)</f>
        <v>40.588258464702399</v>
      </c>
      <c r="W45" s="154">
        <f t="shared" si="27"/>
        <v>3.3555555555555556</v>
      </c>
      <c r="X45" s="154"/>
      <c r="Y45" s="154">
        <f t="shared" si="27"/>
        <v>11.276381279595133</v>
      </c>
      <c r="Z45" s="154">
        <f t="shared" si="27"/>
        <v>6.736756137391251</v>
      </c>
      <c r="AA45" s="154"/>
      <c r="AB45" s="156"/>
      <c r="AC45" s="75"/>
      <c r="AD45" s="75"/>
      <c r="AE45" s="76"/>
    </row>
    <row r="46" spans="1:41" s="77" customFormat="1" ht="58.5" customHeight="1" x14ac:dyDescent="0.25">
      <c r="A46" s="269" t="s">
        <v>185</v>
      </c>
      <c r="B46" s="270"/>
      <c r="C46" s="270"/>
      <c r="D46" s="271"/>
      <c r="E46" s="153"/>
      <c r="F46" s="157">
        <f>F9+F32+F37</f>
        <v>12028000000</v>
      </c>
      <c r="G46" s="157"/>
      <c r="H46" s="157">
        <f t="shared" ref="H46:R46" si="28">H9+H32+H37</f>
        <v>1574186792</v>
      </c>
      <c r="I46" s="157"/>
      <c r="J46" s="157">
        <f>J9+J32+J37</f>
        <v>2157000000</v>
      </c>
      <c r="K46" s="157"/>
      <c r="L46" s="157">
        <f t="shared" si="28"/>
        <v>668347492</v>
      </c>
      <c r="M46" s="157"/>
      <c r="N46" s="158">
        <f t="shared" si="28"/>
        <v>431499089</v>
      </c>
      <c r="O46" s="158"/>
      <c r="P46" s="158">
        <f t="shared" si="28"/>
        <v>0</v>
      </c>
      <c r="Q46" s="158"/>
      <c r="R46" s="158">
        <f t="shared" si="28"/>
        <v>0</v>
      </c>
      <c r="S46" s="157"/>
      <c r="T46" s="157">
        <f>T9+T32+T37</f>
        <v>1099846581</v>
      </c>
      <c r="U46" s="154">
        <f>AVERAGE(U9:U12,U32:U33,U37:U38)</f>
        <v>104.58333333333334</v>
      </c>
      <c r="V46" s="154">
        <f t="shared" ref="V46:Z46" si="29">AVERAGE(V9:V12,V32:V33,V37:V38)</f>
        <v>42.869524751778528</v>
      </c>
      <c r="W46" s="154">
        <f t="shared" si="29"/>
        <v>82.909313725490193</v>
      </c>
      <c r="X46" s="155">
        <f>X9+X32+X37</f>
        <v>1099846581</v>
      </c>
      <c r="Y46" s="154">
        <f t="shared" si="29"/>
        <v>87.646155830753358</v>
      </c>
      <c r="Z46" s="154">
        <f t="shared" si="29"/>
        <v>7.2130407893477253</v>
      </c>
      <c r="AA46" s="154"/>
      <c r="AB46" s="156"/>
      <c r="AC46" s="75"/>
      <c r="AD46" s="75"/>
      <c r="AE46" s="76"/>
    </row>
    <row r="47" spans="1:41" s="77" customFormat="1" ht="30" customHeight="1" x14ac:dyDescent="0.25">
      <c r="A47" s="424" t="s">
        <v>198</v>
      </c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5"/>
      <c r="AC47" s="75"/>
      <c r="AD47" s="75"/>
      <c r="AE47" s="76"/>
    </row>
    <row r="48" spans="1:41" s="77" customFormat="1" ht="42" customHeight="1" x14ac:dyDescent="0.25">
      <c r="A48" s="399" t="s">
        <v>148</v>
      </c>
      <c r="B48" s="361" t="s">
        <v>69</v>
      </c>
      <c r="C48" s="160" t="s">
        <v>70</v>
      </c>
      <c r="D48" s="161" t="s">
        <v>124</v>
      </c>
      <c r="E48" s="144">
        <v>100</v>
      </c>
      <c r="F48" s="297">
        <f>F51+F52+F53+F54</f>
        <v>21280000000</v>
      </c>
      <c r="G48" s="162">
        <v>100</v>
      </c>
      <c r="H48" s="367">
        <f>H51+H52+H53+H54</f>
        <v>1421752090</v>
      </c>
      <c r="I48" s="162">
        <v>100</v>
      </c>
      <c r="J48" s="367">
        <f>J51+J52+J53+J54</f>
        <v>1580000000</v>
      </c>
      <c r="K48" s="176">
        <v>0</v>
      </c>
      <c r="L48" s="290">
        <f>SUM(L51:L54)</f>
        <v>48000000</v>
      </c>
      <c r="M48" s="222">
        <f>(2/7)*100</f>
        <v>28.571428571428569</v>
      </c>
      <c r="N48" s="290">
        <f>N51+N52+N53+N54</f>
        <v>636378400</v>
      </c>
      <c r="O48" s="130"/>
      <c r="P48" s="287"/>
      <c r="Q48" s="144"/>
      <c r="R48" s="287"/>
      <c r="S48" s="137">
        <f>K48+M48+O48+Q48</f>
        <v>28.571428571428569</v>
      </c>
      <c r="T48" s="297">
        <f>L48+N48+P48+R48</f>
        <v>684378400</v>
      </c>
      <c r="U48" s="159">
        <f>S48/I48*100</f>
        <v>28.571428571428569</v>
      </c>
      <c r="V48" s="291">
        <f>T48/J48*100</f>
        <v>43.315088607594937</v>
      </c>
      <c r="W48" s="139">
        <f>S48</f>
        <v>28.571428571428569</v>
      </c>
      <c r="X48" s="294">
        <f>T48</f>
        <v>684378400</v>
      </c>
      <c r="Y48" s="139">
        <f>W48/E48*100</f>
        <v>28.571428571428569</v>
      </c>
      <c r="Z48" s="291">
        <f>X48/F48*100</f>
        <v>3.2160639097744359</v>
      </c>
      <c r="AA48" s="273" t="s">
        <v>194</v>
      </c>
      <c r="AB48" s="274"/>
      <c r="AC48" s="75"/>
      <c r="AD48" s="75"/>
      <c r="AE48" s="76"/>
    </row>
    <row r="49" spans="1:31" s="77" customFormat="1" ht="50.25" customHeight="1" x14ac:dyDescent="0.25">
      <c r="A49" s="400"/>
      <c r="B49" s="362"/>
      <c r="C49" s="160" t="s">
        <v>71</v>
      </c>
      <c r="D49" s="161" t="s">
        <v>124</v>
      </c>
      <c r="E49" s="144">
        <v>100</v>
      </c>
      <c r="F49" s="288"/>
      <c r="G49" s="162">
        <v>100</v>
      </c>
      <c r="H49" s="368"/>
      <c r="I49" s="162">
        <v>100</v>
      </c>
      <c r="J49" s="368"/>
      <c r="K49" s="176">
        <v>0</v>
      </c>
      <c r="L49" s="288"/>
      <c r="M49" s="176">
        <v>20</v>
      </c>
      <c r="N49" s="288"/>
      <c r="O49" s="130"/>
      <c r="P49" s="288"/>
      <c r="Q49" s="144"/>
      <c r="R49" s="288"/>
      <c r="S49" s="129">
        <f t="shared" ref="S49:S50" si="30">K49+M49+O49+Q49</f>
        <v>20</v>
      </c>
      <c r="T49" s="298"/>
      <c r="U49" s="159">
        <f t="shared" ref="U49:U50" si="31">S49/I49*100</f>
        <v>20</v>
      </c>
      <c r="V49" s="292"/>
      <c r="W49" s="139">
        <f t="shared" ref="W49:W79" si="32">S49</f>
        <v>20</v>
      </c>
      <c r="X49" s="295"/>
      <c r="Y49" s="139">
        <f t="shared" ref="Y49:Y50" si="33">W49/E49*100</f>
        <v>20</v>
      </c>
      <c r="Z49" s="292"/>
      <c r="AA49" s="275"/>
      <c r="AB49" s="276"/>
      <c r="AC49" s="75"/>
      <c r="AD49" s="75"/>
      <c r="AE49" s="76"/>
    </row>
    <row r="50" spans="1:31" s="77" customFormat="1" ht="48" customHeight="1" x14ac:dyDescent="0.25">
      <c r="A50" s="401"/>
      <c r="B50" s="363"/>
      <c r="C50" s="160" t="s">
        <v>72</v>
      </c>
      <c r="D50" s="161" t="s">
        <v>124</v>
      </c>
      <c r="E50" s="144">
        <v>100</v>
      </c>
      <c r="F50" s="289"/>
      <c r="G50" s="163">
        <v>100</v>
      </c>
      <c r="H50" s="369"/>
      <c r="I50" s="162">
        <v>100</v>
      </c>
      <c r="J50" s="369"/>
      <c r="K50" s="176">
        <v>0</v>
      </c>
      <c r="L50" s="289"/>
      <c r="M50" s="176">
        <v>0</v>
      </c>
      <c r="N50" s="289"/>
      <c r="O50" s="130"/>
      <c r="P50" s="289"/>
      <c r="Q50" s="144"/>
      <c r="R50" s="289"/>
      <c r="S50" s="129">
        <f t="shared" si="30"/>
        <v>0</v>
      </c>
      <c r="T50" s="299"/>
      <c r="U50" s="159">
        <f t="shared" si="31"/>
        <v>0</v>
      </c>
      <c r="V50" s="293"/>
      <c r="W50" s="139">
        <f t="shared" si="32"/>
        <v>0</v>
      </c>
      <c r="X50" s="296"/>
      <c r="Y50" s="139">
        <f t="shared" si="33"/>
        <v>0</v>
      </c>
      <c r="Z50" s="293"/>
      <c r="AA50" s="277"/>
      <c r="AB50" s="278"/>
      <c r="AC50" s="75"/>
      <c r="AD50" s="75"/>
      <c r="AE50" s="76"/>
    </row>
    <row r="51" spans="1:31" s="77" customFormat="1" ht="63" customHeight="1" x14ac:dyDescent="0.25">
      <c r="A51" s="316" t="s">
        <v>149</v>
      </c>
      <c r="B51" s="359" t="s">
        <v>73</v>
      </c>
      <c r="C51" s="65" t="s">
        <v>118</v>
      </c>
      <c r="D51" s="65" t="s">
        <v>128</v>
      </c>
      <c r="E51" s="92">
        <v>20</v>
      </c>
      <c r="F51" s="67">
        <v>8908000000</v>
      </c>
      <c r="G51" s="71">
        <v>4</v>
      </c>
      <c r="H51" s="68">
        <v>42990000</v>
      </c>
      <c r="I51" s="92">
        <v>4</v>
      </c>
      <c r="J51" s="68">
        <v>500000000</v>
      </c>
      <c r="K51" s="69">
        <v>1</v>
      </c>
      <c r="L51" s="70">
        <v>24000000</v>
      </c>
      <c r="M51" s="187">
        <v>0</v>
      </c>
      <c r="N51" s="70">
        <v>17000000</v>
      </c>
      <c r="O51" s="71"/>
      <c r="P51" s="70"/>
      <c r="Q51" s="69"/>
      <c r="R51" s="70"/>
      <c r="S51" s="69">
        <f t="shared" ref="S51:S96" si="34">K51+M51+O51+Q51</f>
        <v>1</v>
      </c>
      <c r="T51" s="72">
        <f t="shared" ref="T51:T88" si="35">L51+N51+P51+R51</f>
        <v>41000000</v>
      </c>
      <c r="U51" s="131">
        <f>S51/I51*100</f>
        <v>25</v>
      </c>
      <c r="V51" s="132">
        <f>T51/J51*100</f>
        <v>8.2000000000000011</v>
      </c>
      <c r="W51" s="132">
        <f>S51</f>
        <v>1</v>
      </c>
      <c r="X51" s="78">
        <f>T51</f>
        <v>41000000</v>
      </c>
      <c r="Y51" s="132">
        <f>W51/E51*100</f>
        <v>5</v>
      </c>
      <c r="Z51" s="74">
        <f>X51/F51*100</f>
        <v>0.46026044005388411</v>
      </c>
      <c r="AA51" s="73"/>
      <c r="AB51" s="74"/>
      <c r="AC51" s="75"/>
      <c r="AD51" s="75"/>
      <c r="AE51" s="76"/>
    </row>
    <row r="52" spans="1:31" s="77" customFormat="1" ht="40.5" x14ac:dyDescent="0.25">
      <c r="A52" s="317"/>
      <c r="B52" s="391"/>
      <c r="C52" s="65" t="s">
        <v>119</v>
      </c>
      <c r="D52" s="65" t="s">
        <v>128</v>
      </c>
      <c r="E52" s="92">
        <v>25</v>
      </c>
      <c r="F52" s="67">
        <v>5385000000</v>
      </c>
      <c r="G52" s="71">
        <v>4</v>
      </c>
      <c r="H52" s="68">
        <v>626200000</v>
      </c>
      <c r="I52" s="92">
        <v>3</v>
      </c>
      <c r="J52" s="68">
        <v>480000000</v>
      </c>
      <c r="K52" s="70">
        <v>0</v>
      </c>
      <c r="L52" s="70">
        <v>0</v>
      </c>
      <c r="M52" s="187">
        <v>1</v>
      </c>
      <c r="N52" s="70">
        <f>342128400-L51</f>
        <v>318128400</v>
      </c>
      <c r="O52" s="71"/>
      <c r="P52" s="70"/>
      <c r="Q52" s="69"/>
      <c r="R52" s="70"/>
      <c r="S52" s="69">
        <f t="shared" si="34"/>
        <v>1</v>
      </c>
      <c r="T52" s="72">
        <f t="shared" si="35"/>
        <v>318128400</v>
      </c>
      <c r="U52" s="131">
        <f t="shared" ref="U52:U54" si="36">S52/I52*100</f>
        <v>33.333333333333329</v>
      </c>
      <c r="V52" s="132">
        <f t="shared" ref="V52:V54" si="37">T52/J52*100</f>
        <v>66.276749999999993</v>
      </c>
      <c r="W52" s="132">
        <f t="shared" si="32"/>
        <v>1</v>
      </c>
      <c r="X52" s="78">
        <f t="shared" si="20"/>
        <v>318128400</v>
      </c>
      <c r="Y52" s="132">
        <f t="shared" ref="Y52:Y54" si="38">W52/E52*100</f>
        <v>4</v>
      </c>
      <c r="Z52" s="132">
        <f t="shared" ref="Z52:Z54" si="39">X52/F52*100</f>
        <v>5.9076768802228408</v>
      </c>
      <c r="AA52" s="73"/>
      <c r="AB52" s="74"/>
      <c r="AC52" s="75"/>
      <c r="AD52" s="75"/>
      <c r="AE52" s="76"/>
    </row>
    <row r="53" spans="1:31" s="77" customFormat="1" ht="60.75" x14ac:dyDescent="0.25">
      <c r="A53" s="83" t="s">
        <v>150</v>
      </c>
      <c r="B53" s="84" t="s">
        <v>151</v>
      </c>
      <c r="C53" s="69" t="s">
        <v>120</v>
      </c>
      <c r="D53" s="65" t="s">
        <v>128</v>
      </c>
      <c r="E53" s="69">
        <v>23</v>
      </c>
      <c r="F53" s="67">
        <v>3810000000</v>
      </c>
      <c r="G53" s="71">
        <v>5</v>
      </c>
      <c r="H53" s="68">
        <v>440571000</v>
      </c>
      <c r="I53" s="92">
        <v>5</v>
      </c>
      <c r="J53" s="68">
        <v>400000000</v>
      </c>
      <c r="K53" s="69">
        <v>1</v>
      </c>
      <c r="L53" s="70">
        <v>24000000</v>
      </c>
      <c r="M53" s="187">
        <v>0</v>
      </c>
      <c r="N53" s="70">
        <f>325250000-L53</f>
        <v>301250000</v>
      </c>
      <c r="O53" s="71"/>
      <c r="P53" s="70"/>
      <c r="Q53" s="69"/>
      <c r="R53" s="70"/>
      <c r="S53" s="69">
        <f t="shared" si="34"/>
        <v>1</v>
      </c>
      <c r="T53" s="72">
        <f t="shared" si="35"/>
        <v>325250000</v>
      </c>
      <c r="U53" s="131">
        <f t="shared" si="36"/>
        <v>20</v>
      </c>
      <c r="V53" s="132">
        <f t="shared" si="37"/>
        <v>81.3125</v>
      </c>
      <c r="W53" s="132">
        <f t="shared" si="32"/>
        <v>1</v>
      </c>
      <c r="X53" s="78">
        <f t="shared" si="20"/>
        <v>325250000</v>
      </c>
      <c r="Y53" s="132">
        <f t="shared" si="38"/>
        <v>4.3478260869565215</v>
      </c>
      <c r="Z53" s="74">
        <f t="shared" si="39"/>
        <v>8.5367454068241457</v>
      </c>
      <c r="AA53" s="73"/>
      <c r="AB53" s="74"/>
      <c r="AC53" s="75"/>
      <c r="AD53" s="75"/>
      <c r="AE53" s="76"/>
    </row>
    <row r="54" spans="1:31" s="77" customFormat="1" ht="60.75" x14ac:dyDescent="0.25">
      <c r="A54" s="83" t="s">
        <v>152</v>
      </c>
      <c r="B54" s="65" t="s">
        <v>74</v>
      </c>
      <c r="C54" s="69" t="s">
        <v>121</v>
      </c>
      <c r="D54" s="65" t="s">
        <v>128</v>
      </c>
      <c r="E54" s="69">
        <v>22</v>
      </c>
      <c r="F54" s="67">
        <v>3177000000</v>
      </c>
      <c r="G54" s="71">
        <v>2</v>
      </c>
      <c r="H54" s="68">
        <v>311991090</v>
      </c>
      <c r="I54" s="92">
        <v>2</v>
      </c>
      <c r="J54" s="68">
        <v>200000000</v>
      </c>
      <c r="K54" s="70">
        <v>0</v>
      </c>
      <c r="L54" s="70">
        <v>0</v>
      </c>
      <c r="M54" s="187">
        <v>0</v>
      </c>
      <c r="N54" s="70">
        <v>0</v>
      </c>
      <c r="O54" s="71"/>
      <c r="P54" s="70"/>
      <c r="Q54" s="69"/>
      <c r="R54" s="70"/>
      <c r="S54" s="69">
        <f t="shared" si="34"/>
        <v>0</v>
      </c>
      <c r="T54" s="72">
        <f t="shared" si="35"/>
        <v>0</v>
      </c>
      <c r="U54" s="131">
        <f t="shared" si="36"/>
        <v>0</v>
      </c>
      <c r="V54" s="132">
        <f t="shared" si="37"/>
        <v>0</v>
      </c>
      <c r="W54" s="132">
        <f t="shared" si="32"/>
        <v>0</v>
      </c>
      <c r="X54" s="78">
        <f t="shared" si="20"/>
        <v>0</v>
      </c>
      <c r="Y54" s="132">
        <f t="shared" si="38"/>
        <v>0</v>
      </c>
      <c r="Z54" s="132">
        <f t="shared" si="39"/>
        <v>0</v>
      </c>
      <c r="AA54" s="73"/>
      <c r="AB54" s="74"/>
      <c r="AC54" s="75"/>
      <c r="AD54" s="75"/>
      <c r="AE54" s="76"/>
    </row>
    <row r="55" spans="1:31" s="77" customFormat="1" ht="45" customHeight="1" x14ac:dyDescent="0.25">
      <c r="A55" s="285" t="s">
        <v>183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6"/>
      <c r="U55" s="147">
        <f>AVERAGE(U51:U54)</f>
        <v>19.583333333333332</v>
      </c>
      <c r="V55" s="147">
        <f t="shared" ref="V55:Z55" si="40">AVERAGE(V51:V54)</f>
        <v>38.947312499999995</v>
      </c>
      <c r="W55" s="147">
        <f t="shared" si="40"/>
        <v>0.75</v>
      </c>
      <c r="X55" s="133"/>
      <c r="Y55" s="164">
        <f t="shared" si="40"/>
        <v>3.3369565217391304</v>
      </c>
      <c r="Z55" s="147">
        <f t="shared" si="40"/>
        <v>3.7261706817752174</v>
      </c>
      <c r="AA55" s="147"/>
      <c r="AB55" s="148"/>
      <c r="AC55" s="75"/>
      <c r="AD55" s="75"/>
      <c r="AE55" s="76"/>
    </row>
    <row r="56" spans="1:31" s="77" customFormat="1" ht="84" customHeight="1" x14ac:dyDescent="0.25">
      <c r="A56" s="416" t="s">
        <v>153</v>
      </c>
      <c r="B56" s="364" t="s">
        <v>75</v>
      </c>
      <c r="C56" s="165" t="s">
        <v>76</v>
      </c>
      <c r="D56" s="166" t="s">
        <v>124</v>
      </c>
      <c r="E56" s="172">
        <v>35</v>
      </c>
      <c r="F56" s="413">
        <f>SUM(F61:F64)</f>
        <v>6177000000</v>
      </c>
      <c r="G56" s="171">
        <v>33</v>
      </c>
      <c r="H56" s="410">
        <f>SUM(H61:H64)</f>
        <v>297974490</v>
      </c>
      <c r="I56" s="170">
        <v>33</v>
      </c>
      <c r="J56" s="407">
        <f>SUM(J61:J67)</f>
        <v>1653670000</v>
      </c>
      <c r="K56" s="167"/>
      <c r="L56" s="315">
        <f>SUM(L61:L64)</f>
        <v>25100000</v>
      </c>
      <c r="M56" s="223">
        <v>0</v>
      </c>
      <c r="N56" s="315">
        <f>N61+N62+N63+N64</f>
        <v>369970000</v>
      </c>
      <c r="O56" s="167"/>
      <c r="P56" s="312"/>
      <c r="Q56" s="168"/>
      <c r="R56" s="312"/>
      <c r="S56" s="169">
        <f>K56+M56+O56+Q56</f>
        <v>0</v>
      </c>
      <c r="T56" s="309">
        <f>L56+N56+P56+R56</f>
        <v>395070000</v>
      </c>
      <c r="U56" s="173">
        <f>S56/I56*100</f>
        <v>0</v>
      </c>
      <c r="V56" s="303">
        <f>T56/J56*100</f>
        <v>23.890498104216682</v>
      </c>
      <c r="W56" s="174">
        <f>S56</f>
        <v>0</v>
      </c>
      <c r="X56" s="306">
        <f>T56</f>
        <v>395070000</v>
      </c>
      <c r="Y56" s="174">
        <f>W56/E56*100</f>
        <v>0</v>
      </c>
      <c r="Z56" s="303">
        <f>X56/F56*100</f>
        <v>6.3958232151529879</v>
      </c>
      <c r="AA56" s="279" t="s">
        <v>195</v>
      </c>
      <c r="AB56" s="280"/>
      <c r="AC56" s="75"/>
      <c r="AD56" s="75"/>
      <c r="AE56" s="76"/>
    </row>
    <row r="57" spans="1:31" s="77" customFormat="1" ht="60" customHeight="1" x14ac:dyDescent="0.25">
      <c r="A57" s="417"/>
      <c r="B57" s="365"/>
      <c r="C57" s="165" t="s">
        <v>77</v>
      </c>
      <c r="D57" s="166" t="s">
        <v>124</v>
      </c>
      <c r="E57" s="172">
        <v>35</v>
      </c>
      <c r="F57" s="414"/>
      <c r="G57" s="171">
        <v>33</v>
      </c>
      <c r="H57" s="411"/>
      <c r="I57" s="170">
        <v>33</v>
      </c>
      <c r="J57" s="408"/>
      <c r="K57" s="167"/>
      <c r="L57" s="313"/>
      <c r="M57" s="223">
        <v>0</v>
      </c>
      <c r="N57" s="313"/>
      <c r="O57" s="167"/>
      <c r="P57" s="313"/>
      <c r="Q57" s="168"/>
      <c r="R57" s="313"/>
      <c r="S57" s="169">
        <f t="shared" ref="S57:S60" si="41">K57+M57+O57+Q57</f>
        <v>0</v>
      </c>
      <c r="T57" s="310"/>
      <c r="U57" s="173">
        <f t="shared" ref="U57:U60" si="42">S57/I57*100</f>
        <v>0</v>
      </c>
      <c r="V57" s="304"/>
      <c r="W57" s="174">
        <f t="shared" ref="W57:W60" si="43">S57</f>
        <v>0</v>
      </c>
      <c r="X57" s="307"/>
      <c r="Y57" s="174">
        <f t="shared" ref="Y57:Y60" si="44">W57/E57*100</f>
        <v>0</v>
      </c>
      <c r="Z57" s="304"/>
      <c r="AA57" s="281"/>
      <c r="AB57" s="282"/>
      <c r="AC57" s="75"/>
      <c r="AD57" s="75"/>
      <c r="AE57" s="76"/>
    </row>
    <row r="58" spans="1:31" s="77" customFormat="1" ht="54" customHeight="1" x14ac:dyDescent="0.25">
      <c r="A58" s="417"/>
      <c r="B58" s="365"/>
      <c r="C58" s="165" t="s">
        <v>80</v>
      </c>
      <c r="D58" s="166" t="s">
        <v>124</v>
      </c>
      <c r="E58" s="171">
        <v>100</v>
      </c>
      <c r="F58" s="414"/>
      <c r="G58" s="171">
        <v>100</v>
      </c>
      <c r="H58" s="411"/>
      <c r="I58" s="171">
        <v>100</v>
      </c>
      <c r="J58" s="408"/>
      <c r="K58" s="167"/>
      <c r="L58" s="313"/>
      <c r="M58" s="223">
        <v>0</v>
      </c>
      <c r="N58" s="313"/>
      <c r="O58" s="167"/>
      <c r="P58" s="313"/>
      <c r="Q58" s="168"/>
      <c r="R58" s="313"/>
      <c r="S58" s="169">
        <f t="shared" si="41"/>
        <v>0</v>
      </c>
      <c r="T58" s="310"/>
      <c r="U58" s="173">
        <f t="shared" si="42"/>
        <v>0</v>
      </c>
      <c r="V58" s="304"/>
      <c r="W58" s="174">
        <f t="shared" si="43"/>
        <v>0</v>
      </c>
      <c r="X58" s="307"/>
      <c r="Y58" s="174">
        <f t="shared" si="44"/>
        <v>0</v>
      </c>
      <c r="Z58" s="304"/>
      <c r="AA58" s="281"/>
      <c r="AB58" s="282"/>
      <c r="AC58" s="75"/>
      <c r="AD58" s="75"/>
      <c r="AE58" s="76"/>
    </row>
    <row r="59" spans="1:31" s="77" customFormat="1" ht="35.25" customHeight="1" x14ac:dyDescent="0.25">
      <c r="A59" s="417"/>
      <c r="B59" s="365"/>
      <c r="C59" s="165" t="s">
        <v>78</v>
      </c>
      <c r="D59" s="166" t="s">
        <v>124</v>
      </c>
      <c r="E59" s="172">
        <v>35</v>
      </c>
      <c r="F59" s="414"/>
      <c r="G59" s="171">
        <v>33</v>
      </c>
      <c r="H59" s="411"/>
      <c r="I59" s="170">
        <v>33</v>
      </c>
      <c r="J59" s="408"/>
      <c r="K59" s="167"/>
      <c r="L59" s="313"/>
      <c r="M59" s="223">
        <v>0</v>
      </c>
      <c r="N59" s="313"/>
      <c r="O59" s="167"/>
      <c r="P59" s="313"/>
      <c r="Q59" s="168"/>
      <c r="R59" s="313"/>
      <c r="S59" s="169">
        <f t="shared" si="41"/>
        <v>0</v>
      </c>
      <c r="T59" s="310"/>
      <c r="U59" s="173">
        <f t="shared" si="42"/>
        <v>0</v>
      </c>
      <c r="V59" s="304"/>
      <c r="W59" s="174">
        <f t="shared" si="43"/>
        <v>0</v>
      </c>
      <c r="X59" s="307"/>
      <c r="Y59" s="174">
        <f t="shared" si="44"/>
        <v>0</v>
      </c>
      <c r="Z59" s="304"/>
      <c r="AA59" s="281"/>
      <c r="AB59" s="282"/>
      <c r="AC59" s="75"/>
      <c r="AD59" s="75"/>
      <c r="AE59" s="76"/>
    </row>
    <row r="60" spans="1:31" s="77" customFormat="1" ht="35.25" customHeight="1" x14ac:dyDescent="0.25">
      <c r="A60" s="418"/>
      <c r="B60" s="366"/>
      <c r="C60" s="165" t="s">
        <v>79</v>
      </c>
      <c r="D60" s="166" t="s">
        <v>124</v>
      </c>
      <c r="E60" s="172">
        <v>35</v>
      </c>
      <c r="F60" s="415"/>
      <c r="G60" s="171">
        <v>33</v>
      </c>
      <c r="H60" s="412"/>
      <c r="I60" s="170">
        <v>33</v>
      </c>
      <c r="J60" s="409"/>
      <c r="K60" s="167"/>
      <c r="L60" s="314"/>
      <c r="M60" s="223">
        <v>0</v>
      </c>
      <c r="N60" s="314"/>
      <c r="O60" s="167"/>
      <c r="P60" s="314"/>
      <c r="Q60" s="168"/>
      <c r="R60" s="314"/>
      <c r="S60" s="169">
        <f t="shared" si="41"/>
        <v>0</v>
      </c>
      <c r="T60" s="311"/>
      <c r="U60" s="173">
        <f t="shared" si="42"/>
        <v>0</v>
      </c>
      <c r="V60" s="305"/>
      <c r="W60" s="174">
        <f t="shared" si="43"/>
        <v>0</v>
      </c>
      <c r="X60" s="308"/>
      <c r="Y60" s="174">
        <f t="shared" si="44"/>
        <v>0</v>
      </c>
      <c r="Z60" s="305"/>
      <c r="AA60" s="283"/>
      <c r="AB60" s="284"/>
      <c r="AC60" s="75"/>
      <c r="AD60" s="75"/>
      <c r="AE60" s="76"/>
    </row>
    <row r="61" spans="1:31" s="77" customFormat="1" ht="75" customHeight="1" x14ac:dyDescent="0.25">
      <c r="A61" s="395" t="s">
        <v>154</v>
      </c>
      <c r="B61" s="419" t="s">
        <v>12</v>
      </c>
      <c r="C61" s="69" t="s">
        <v>82</v>
      </c>
      <c r="D61" s="69" t="s">
        <v>128</v>
      </c>
      <c r="E61" s="92">
        <v>5</v>
      </c>
      <c r="F61" s="67">
        <v>1680000000</v>
      </c>
      <c r="G61" s="71">
        <v>1</v>
      </c>
      <c r="H61" s="68">
        <v>63070000</v>
      </c>
      <c r="I61" s="92">
        <v>1</v>
      </c>
      <c r="J61" s="68">
        <v>155000000</v>
      </c>
      <c r="K61" s="70">
        <v>0</v>
      </c>
      <c r="L61" s="70">
        <v>0</v>
      </c>
      <c r="M61" s="187">
        <v>0</v>
      </c>
      <c r="N61" s="70">
        <f>31110000</f>
        <v>31110000</v>
      </c>
      <c r="O61" s="71"/>
      <c r="P61" s="70"/>
      <c r="Q61" s="69"/>
      <c r="R61" s="70"/>
      <c r="S61" s="175">
        <f>K61+M61+O61+Q61</f>
        <v>0</v>
      </c>
      <c r="T61" s="72">
        <f t="shared" si="35"/>
        <v>31110000</v>
      </c>
      <c r="U61" s="131">
        <f>S61/I61*100</f>
        <v>0</v>
      </c>
      <c r="V61" s="132">
        <f>T61/J61*100</f>
        <v>20.070967741935483</v>
      </c>
      <c r="W61" s="74">
        <f>S61</f>
        <v>0</v>
      </c>
      <c r="X61" s="78">
        <f>T61</f>
        <v>31110000</v>
      </c>
      <c r="Y61" s="132">
        <f>W61/E61*100</f>
        <v>0</v>
      </c>
      <c r="Z61" s="132">
        <f>X61/F61*100</f>
        <v>1.8517857142857141</v>
      </c>
      <c r="AA61" s="73"/>
      <c r="AB61" s="74"/>
      <c r="AC61" s="75"/>
      <c r="AD61" s="75"/>
      <c r="AE61" s="76"/>
    </row>
    <row r="62" spans="1:31" s="77" customFormat="1" ht="67.5" customHeight="1" x14ac:dyDescent="0.25">
      <c r="A62" s="396"/>
      <c r="B62" s="420"/>
      <c r="C62" s="69" t="s">
        <v>83</v>
      </c>
      <c r="D62" s="69" t="s">
        <v>130</v>
      </c>
      <c r="E62" s="92">
        <v>5</v>
      </c>
      <c r="F62" s="67">
        <v>900000000</v>
      </c>
      <c r="G62" s="71">
        <v>1</v>
      </c>
      <c r="H62" s="68">
        <v>149339490</v>
      </c>
      <c r="I62" s="92">
        <v>1</v>
      </c>
      <c r="J62" s="68">
        <v>100000000</v>
      </c>
      <c r="K62" s="70">
        <v>0</v>
      </c>
      <c r="L62" s="70">
        <v>0</v>
      </c>
      <c r="M62" s="187">
        <v>0</v>
      </c>
      <c r="N62" s="70"/>
      <c r="O62" s="71"/>
      <c r="P62" s="70"/>
      <c r="Q62" s="69"/>
      <c r="R62" s="70"/>
      <c r="S62" s="175">
        <f t="shared" ref="S62:S67" si="45">K62+M62+O62+Q62</f>
        <v>0</v>
      </c>
      <c r="T62" s="72">
        <f t="shared" si="35"/>
        <v>0</v>
      </c>
      <c r="U62" s="131">
        <f t="shared" ref="U62:U67" si="46">S62/I62*100</f>
        <v>0</v>
      </c>
      <c r="V62" s="132">
        <f t="shared" ref="V62:V67" si="47">T62/J62*100</f>
        <v>0</v>
      </c>
      <c r="W62" s="74">
        <f t="shared" si="32"/>
        <v>0</v>
      </c>
      <c r="X62" s="78">
        <f t="shared" si="20"/>
        <v>0</v>
      </c>
      <c r="Y62" s="132">
        <f t="shared" ref="Y62:Y67" si="48">W62/E62*100</f>
        <v>0</v>
      </c>
      <c r="Z62" s="132">
        <f t="shared" si="13"/>
        <v>0</v>
      </c>
      <c r="AA62" s="73"/>
      <c r="AB62" s="74"/>
      <c r="AC62" s="75"/>
      <c r="AD62" s="75"/>
      <c r="AE62" s="76"/>
    </row>
    <row r="63" spans="1:31" s="77" customFormat="1" ht="69" customHeight="1" x14ac:dyDescent="0.25">
      <c r="A63" s="83" t="s">
        <v>155</v>
      </c>
      <c r="B63" s="93" t="s">
        <v>81</v>
      </c>
      <c r="C63" s="69" t="s">
        <v>84</v>
      </c>
      <c r="D63" s="69" t="s">
        <v>131</v>
      </c>
      <c r="E63" s="92">
        <v>12</v>
      </c>
      <c r="F63" s="67">
        <v>2377000000</v>
      </c>
      <c r="G63" s="71">
        <v>1</v>
      </c>
      <c r="H63" s="68"/>
      <c r="I63" s="92">
        <v>2</v>
      </c>
      <c r="J63" s="68">
        <v>526500000</v>
      </c>
      <c r="K63" s="70">
        <v>0</v>
      </c>
      <c r="L63" s="70">
        <v>25100000</v>
      </c>
      <c r="M63" s="187">
        <v>0</v>
      </c>
      <c r="N63" s="70">
        <f>363960000-L63</f>
        <v>338860000</v>
      </c>
      <c r="O63" s="71"/>
      <c r="P63" s="70"/>
      <c r="Q63" s="69"/>
      <c r="R63" s="70"/>
      <c r="S63" s="175">
        <f t="shared" si="45"/>
        <v>0</v>
      </c>
      <c r="T63" s="72">
        <f>L63+N63+P63+R63</f>
        <v>363960000</v>
      </c>
      <c r="U63" s="131">
        <f t="shared" si="46"/>
        <v>0</v>
      </c>
      <c r="V63" s="74">
        <f t="shared" si="47"/>
        <v>69.128205128205138</v>
      </c>
      <c r="W63" s="74">
        <f t="shared" si="32"/>
        <v>0</v>
      </c>
      <c r="X63" s="78">
        <f t="shared" si="20"/>
        <v>363960000</v>
      </c>
      <c r="Y63" s="132">
        <f t="shared" si="48"/>
        <v>0</v>
      </c>
      <c r="Z63" s="74">
        <f t="shared" si="13"/>
        <v>15.311737484223812</v>
      </c>
      <c r="AA63" s="73"/>
      <c r="AB63" s="74"/>
      <c r="AC63" s="75"/>
      <c r="AD63" s="75"/>
      <c r="AE63" s="76"/>
    </row>
    <row r="64" spans="1:31" s="77" customFormat="1" ht="127.5" customHeight="1" x14ac:dyDescent="0.25">
      <c r="A64" s="83" t="s">
        <v>156</v>
      </c>
      <c r="B64" s="93" t="s">
        <v>13</v>
      </c>
      <c r="C64" s="65" t="s">
        <v>85</v>
      </c>
      <c r="D64" s="65" t="s">
        <v>128</v>
      </c>
      <c r="E64" s="92">
        <v>14</v>
      </c>
      <c r="F64" s="67">
        <v>1220000000</v>
      </c>
      <c r="G64" s="71">
        <v>1</v>
      </c>
      <c r="H64" s="68">
        <v>85565000</v>
      </c>
      <c r="I64" s="92">
        <v>2</v>
      </c>
      <c r="J64" s="68">
        <v>120000000</v>
      </c>
      <c r="K64" s="70">
        <v>0</v>
      </c>
      <c r="L64" s="70">
        <v>0</v>
      </c>
      <c r="M64" s="187">
        <v>0</v>
      </c>
      <c r="N64" s="70">
        <v>0</v>
      </c>
      <c r="O64" s="71"/>
      <c r="P64" s="70"/>
      <c r="Q64" s="69"/>
      <c r="R64" s="70"/>
      <c r="S64" s="175">
        <f t="shared" si="45"/>
        <v>0</v>
      </c>
      <c r="T64" s="72">
        <f t="shared" si="35"/>
        <v>0</v>
      </c>
      <c r="U64" s="131">
        <f t="shared" si="46"/>
        <v>0</v>
      </c>
      <c r="V64" s="132">
        <f t="shared" si="47"/>
        <v>0</v>
      </c>
      <c r="W64" s="132">
        <f t="shared" si="32"/>
        <v>0</v>
      </c>
      <c r="X64" s="78">
        <f t="shared" si="20"/>
        <v>0</v>
      </c>
      <c r="Y64" s="132">
        <f t="shared" si="48"/>
        <v>0</v>
      </c>
      <c r="Z64" s="132">
        <f t="shared" si="13"/>
        <v>0</v>
      </c>
      <c r="AA64" s="73"/>
      <c r="AB64" s="74"/>
      <c r="AC64" s="75"/>
      <c r="AD64" s="75"/>
      <c r="AE64" s="76"/>
    </row>
    <row r="65" spans="1:41" s="77" customFormat="1" ht="127.5" customHeight="1" x14ac:dyDescent="0.25">
      <c r="A65" s="229" t="s">
        <v>208</v>
      </c>
      <c r="B65" s="230" t="s">
        <v>209</v>
      </c>
      <c r="C65" s="65"/>
      <c r="D65" s="65" t="s">
        <v>128</v>
      </c>
      <c r="E65" s="231">
        <v>1</v>
      </c>
      <c r="F65" s="231" t="s">
        <v>214</v>
      </c>
      <c r="G65" s="231" t="s">
        <v>214</v>
      </c>
      <c r="H65" s="231" t="s">
        <v>214</v>
      </c>
      <c r="I65" s="231">
        <v>1</v>
      </c>
      <c r="J65" s="232">
        <v>200000000</v>
      </c>
      <c r="K65" s="70">
        <v>0</v>
      </c>
      <c r="L65" s="70">
        <v>0</v>
      </c>
      <c r="M65" s="70">
        <v>0</v>
      </c>
      <c r="N65" s="70">
        <v>0</v>
      </c>
      <c r="O65" s="71"/>
      <c r="P65" s="70"/>
      <c r="Q65" s="69"/>
      <c r="R65" s="70"/>
      <c r="S65" s="175">
        <f t="shared" si="45"/>
        <v>0</v>
      </c>
      <c r="T65" s="72">
        <f t="shared" si="35"/>
        <v>0</v>
      </c>
      <c r="U65" s="131">
        <f t="shared" si="46"/>
        <v>0</v>
      </c>
      <c r="V65" s="132">
        <f t="shared" si="47"/>
        <v>0</v>
      </c>
      <c r="W65" s="132">
        <f t="shared" si="32"/>
        <v>0</v>
      </c>
      <c r="X65" s="78">
        <f t="shared" si="20"/>
        <v>0</v>
      </c>
      <c r="Y65" s="132">
        <f t="shared" si="48"/>
        <v>0</v>
      </c>
      <c r="Z65" s="132">
        <v>0</v>
      </c>
      <c r="AA65" s="73"/>
      <c r="AB65" s="74"/>
      <c r="AC65" s="75"/>
      <c r="AD65" s="75"/>
      <c r="AE65" s="76"/>
    </row>
    <row r="66" spans="1:41" s="77" customFormat="1" ht="127.5" customHeight="1" x14ac:dyDescent="0.25">
      <c r="A66" s="229" t="s">
        <v>210</v>
      </c>
      <c r="B66" s="230" t="s">
        <v>212</v>
      </c>
      <c r="C66" s="65"/>
      <c r="D66" s="65" t="s">
        <v>128</v>
      </c>
      <c r="E66" s="231">
        <v>1</v>
      </c>
      <c r="F66" s="231" t="s">
        <v>214</v>
      </c>
      <c r="G66" s="231" t="s">
        <v>214</v>
      </c>
      <c r="H66" s="231" t="s">
        <v>214</v>
      </c>
      <c r="I66" s="231">
        <v>1</v>
      </c>
      <c r="J66" s="232">
        <v>400000000</v>
      </c>
      <c r="K66" s="70">
        <v>0</v>
      </c>
      <c r="L66" s="70">
        <v>0</v>
      </c>
      <c r="M66" s="70">
        <v>0</v>
      </c>
      <c r="N66" s="70">
        <v>0</v>
      </c>
      <c r="O66" s="71"/>
      <c r="P66" s="70"/>
      <c r="Q66" s="69"/>
      <c r="R66" s="70"/>
      <c r="S66" s="175">
        <f t="shared" si="45"/>
        <v>0</v>
      </c>
      <c r="T66" s="72">
        <f t="shared" si="35"/>
        <v>0</v>
      </c>
      <c r="U66" s="131">
        <f t="shared" si="46"/>
        <v>0</v>
      </c>
      <c r="V66" s="132">
        <f t="shared" si="47"/>
        <v>0</v>
      </c>
      <c r="W66" s="132">
        <f t="shared" si="32"/>
        <v>0</v>
      </c>
      <c r="X66" s="78">
        <f t="shared" si="20"/>
        <v>0</v>
      </c>
      <c r="Y66" s="132">
        <f t="shared" si="48"/>
        <v>0</v>
      </c>
      <c r="Z66" s="132">
        <v>0</v>
      </c>
      <c r="AA66" s="73"/>
      <c r="AB66" s="74"/>
      <c r="AC66" s="75"/>
      <c r="AD66" s="75"/>
      <c r="AE66" s="76"/>
    </row>
    <row r="67" spans="1:41" s="77" customFormat="1" ht="127.5" customHeight="1" x14ac:dyDescent="0.25">
      <c r="A67" s="229" t="s">
        <v>211</v>
      </c>
      <c r="B67" s="230" t="s">
        <v>213</v>
      </c>
      <c r="C67" s="65"/>
      <c r="D67" s="65" t="s">
        <v>128</v>
      </c>
      <c r="E67" s="231">
        <v>1</v>
      </c>
      <c r="F67" s="231" t="s">
        <v>214</v>
      </c>
      <c r="G67" s="231" t="s">
        <v>214</v>
      </c>
      <c r="H67" s="231" t="s">
        <v>214</v>
      </c>
      <c r="I67" s="231">
        <v>1</v>
      </c>
      <c r="J67" s="232">
        <v>152170000</v>
      </c>
      <c r="K67" s="70">
        <v>0</v>
      </c>
      <c r="L67" s="70">
        <v>0</v>
      </c>
      <c r="M67" s="70">
        <v>0</v>
      </c>
      <c r="N67" s="70">
        <v>0</v>
      </c>
      <c r="O67" s="71"/>
      <c r="P67" s="70"/>
      <c r="Q67" s="69"/>
      <c r="R67" s="70"/>
      <c r="S67" s="175">
        <f t="shared" si="45"/>
        <v>0</v>
      </c>
      <c r="T67" s="72">
        <f t="shared" si="35"/>
        <v>0</v>
      </c>
      <c r="U67" s="131">
        <f t="shared" si="46"/>
        <v>0</v>
      </c>
      <c r="V67" s="132">
        <f t="shared" si="47"/>
        <v>0</v>
      </c>
      <c r="W67" s="132">
        <f t="shared" si="32"/>
        <v>0</v>
      </c>
      <c r="X67" s="78">
        <f t="shared" si="20"/>
        <v>0</v>
      </c>
      <c r="Y67" s="132">
        <f t="shared" si="48"/>
        <v>0</v>
      </c>
      <c r="Z67" s="132">
        <v>0</v>
      </c>
      <c r="AA67" s="73"/>
      <c r="AB67" s="74"/>
      <c r="AC67" s="75"/>
      <c r="AD67" s="75"/>
      <c r="AE67" s="76"/>
    </row>
    <row r="68" spans="1:41" s="77" customFormat="1" ht="45.75" customHeight="1" x14ac:dyDescent="0.25">
      <c r="A68" s="285" t="s">
        <v>183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6"/>
      <c r="U68" s="164">
        <f>AVERAGE(U61:U67)</f>
        <v>0</v>
      </c>
      <c r="V68" s="147">
        <f>AVERAGE(V61:V67)</f>
        <v>12.742738981448658</v>
      </c>
      <c r="W68" s="164">
        <f>AVERAGE(W61:W67)</f>
        <v>0</v>
      </c>
      <c r="X68" s="133"/>
      <c r="Y68" s="164">
        <f>AVERAGE(Y61:Y67)</f>
        <v>0</v>
      </c>
      <c r="Z68" s="147">
        <f>AVERAGE(Z61:Z67)</f>
        <v>2.4519318855013608</v>
      </c>
      <c r="AA68" s="147"/>
      <c r="AB68" s="148"/>
      <c r="AC68" s="75"/>
      <c r="AD68" s="75"/>
      <c r="AE68" s="76"/>
    </row>
    <row r="69" spans="1:41" s="77" customFormat="1" ht="45.75" customHeight="1" x14ac:dyDescent="0.25">
      <c r="A69" s="268" t="s">
        <v>186</v>
      </c>
      <c r="B69" s="268"/>
      <c r="C69" s="268"/>
      <c r="D69" s="268"/>
      <c r="E69" s="153"/>
      <c r="F69" s="190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89">
        <f>AVERAGE(U55,U68)</f>
        <v>9.7916666666666661</v>
      </c>
      <c r="V69" s="189">
        <f>AVERAGE(V55,V68)</f>
        <v>25.845025740724328</v>
      </c>
      <c r="W69" s="189">
        <f>AVERAGE(W55,W68)</f>
        <v>0.375</v>
      </c>
      <c r="X69" s="155"/>
      <c r="Y69" s="189">
        <f>AVERAGE(Y55,Y68)</f>
        <v>1.6684782608695652</v>
      </c>
      <c r="Z69" s="189">
        <f>AVERAGE(Z55,Z68)</f>
        <v>3.0890512836382893</v>
      </c>
      <c r="AA69" s="154"/>
      <c r="AB69" s="156"/>
      <c r="AC69" s="75"/>
      <c r="AD69" s="75"/>
      <c r="AE69" s="76"/>
    </row>
    <row r="70" spans="1:41" s="77" customFormat="1" ht="45.75" customHeight="1" x14ac:dyDescent="0.25">
      <c r="A70" s="269" t="s">
        <v>187</v>
      </c>
      <c r="B70" s="270"/>
      <c r="C70" s="270"/>
      <c r="D70" s="271"/>
      <c r="E70" s="153"/>
      <c r="F70" s="190">
        <f>F48+F56</f>
        <v>27457000000</v>
      </c>
      <c r="G70" s="190"/>
      <c r="H70" s="190">
        <f>H48+H56</f>
        <v>1719726580</v>
      </c>
      <c r="I70" s="190"/>
      <c r="J70" s="190">
        <f t="shared" ref="J70:T70" si="49">J48+J56</f>
        <v>3233670000</v>
      </c>
      <c r="K70" s="190">
        <f t="shared" si="49"/>
        <v>0</v>
      </c>
      <c r="L70" s="190">
        <f t="shared" si="49"/>
        <v>73100000</v>
      </c>
      <c r="M70" s="190">
        <f t="shared" si="49"/>
        <v>28.571428571428569</v>
      </c>
      <c r="N70" s="190">
        <f t="shared" si="49"/>
        <v>1006348400</v>
      </c>
      <c r="O70" s="190">
        <f t="shared" si="49"/>
        <v>0</v>
      </c>
      <c r="P70" s="190">
        <f t="shared" si="49"/>
        <v>0</v>
      </c>
      <c r="Q70" s="190">
        <f t="shared" si="49"/>
        <v>0</v>
      </c>
      <c r="R70" s="190">
        <f t="shared" si="49"/>
        <v>0</v>
      </c>
      <c r="S70" s="190">
        <f t="shared" si="49"/>
        <v>28.571428571428569</v>
      </c>
      <c r="T70" s="190">
        <f t="shared" si="49"/>
        <v>1079448400</v>
      </c>
      <c r="U70" s="189">
        <f>AVERAGE(U48:U50,U56:U60)</f>
        <v>6.0714285714285712</v>
      </c>
      <c r="V70" s="189">
        <f>AVERAGE(V48:V50,V56:V60)</f>
        <v>33.60279335590581</v>
      </c>
      <c r="W70" s="189">
        <f>AVERAGE(W48:W50,W56:W60)</f>
        <v>6.0714285714285712</v>
      </c>
      <c r="X70" s="155">
        <f>X48+X56</f>
        <v>1079448400</v>
      </c>
      <c r="Y70" s="189">
        <f>AVERAGE(Y48:Y50,Y56:Y60)</f>
        <v>6.0714285714285712</v>
      </c>
      <c r="Z70" s="189">
        <f>AVERAGE(Z48:Z50,Z56:Z60)</f>
        <v>4.8059435624637121</v>
      </c>
      <c r="AA70" s="154"/>
      <c r="AB70" s="156"/>
      <c r="AC70" s="75"/>
      <c r="AD70" s="75"/>
      <c r="AE70" s="76"/>
    </row>
    <row r="71" spans="1:41" s="77" customFormat="1" ht="38.25" customHeight="1" x14ac:dyDescent="0.25">
      <c r="A71" s="424" t="s">
        <v>199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5"/>
      <c r="AC71" s="75"/>
      <c r="AD71" s="75"/>
      <c r="AE71" s="76"/>
    </row>
    <row r="72" spans="1:41" s="77" customFormat="1" ht="42" customHeight="1" x14ac:dyDescent="0.25">
      <c r="A72" s="397" t="s">
        <v>157</v>
      </c>
      <c r="B72" s="378" t="s">
        <v>86</v>
      </c>
      <c r="C72" s="160" t="s">
        <v>87</v>
      </c>
      <c r="D72" s="161" t="s">
        <v>124</v>
      </c>
      <c r="E72" s="177">
        <v>60</v>
      </c>
      <c r="F72" s="421">
        <f>SUM(F76:F79)</f>
        <v>12487000000</v>
      </c>
      <c r="G72" s="177">
        <v>30</v>
      </c>
      <c r="H72" s="300">
        <f>SUM(H76:H79)</f>
        <v>1966563500</v>
      </c>
      <c r="I72" s="177">
        <v>40</v>
      </c>
      <c r="J72" s="300">
        <f>SUM(J76:J79)</f>
        <v>1930000000</v>
      </c>
      <c r="K72" s="176">
        <f>K76/I76*100</f>
        <v>0</v>
      </c>
      <c r="L72" s="290">
        <f>SUM(L76:L79)</f>
        <v>30000000</v>
      </c>
      <c r="M72" s="176">
        <v>0</v>
      </c>
      <c r="N72" s="290">
        <f>N76+N77+N78+N79</f>
        <v>211761000</v>
      </c>
      <c r="O72" s="130"/>
      <c r="P72" s="287"/>
      <c r="Q72" s="144"/>
      <c r="R72" s="287"/>
      <c r="S72" s="178">
        <f>K72+M72+O72+Q72</f>
        <v>0</v>
      </c>
      <c r="T72" s="297">
        <f>L72+N72+P72+R72</f>
        <v>241761000</v>
      </c>
      <c r="U72" s="178">
        <f>S72/I72*100</f>
        <v>0</v>
      </c>
      <c r="V72" s="291">
        <f>T72/J72*100</f>
        <v>12.526476683937823</v>
      </c>
      <c r="W72" s="179">
        <f>S72</f>
        <v>0</v>
      </c>
      <c r="X72" s="294">
        <f>T72</f>
        <v>241761000</v>
      </c>
      <c r="Y72" s="180">
        <f>W72/E72*100</f>
        <v>0</v>
      </c>
      <c r="Z72" s="291">
        <f>X72/F72*100</f>
        <v>1.9361015456074315</v>
      </c>
      <c r="AA72" s="273" t="s">
        <v>196</v>
      </c>
      <c r="AB72" s="274"/>
      <c r="AC72" s="75"/>
      <c r="AD72" s="75"/>
      <c r="AE72" s="76"/>
    </row>
    <row r="73" spans="1:41" s="77" customFormat="1" ht="48.75" customHeight="1" x14ac:dyDescent="0.25">
      <c r="A73" s="398"/>
      <c r="B73" s="379"/>
      <c r="C73" s="160" t="s">
        <v>88</v>
      </c>
      <c r="D73" s="161" t="s">
        <v>124</v>
      </c>
      <c r="E73" s="177">
        <v>85</v>
      </c>
      <c r="F73" s="301"/>
      <c r="G73" s="177">
        <v>60</v>
      </c>
      <c r="H73" s="301"/>
      <c r="I73" s="177">
        <v>65</v>
      </c>
      <c r="J73" s="301"/>
      <c r="K73" s="176">
        <v>0</v>
      </c>
      <c r="L73" s="288"/>
      <c r="M73" s="176">
        <v>65</v>
      </c>
      <c r="N73" s="288"/>
      <c r="O73" s="130"/>
      <c r="P73" s="288"/>
      <c r="Q73" s="144"/>
      <c r="R73" s="288"/>
      <c r="S73" s="178">
        <f t="shared" ref="S73:S75" si="50">K73+M73+O73+Q73</f>
        <v>65</v>
      </c>
      <c r="T73" s="298"/>
      <c r="U73" s="178">
        <f>S73/I73*100</f>
        <v>100</v>
      </c>
      <c r="V73" s="292"/>
      <c r="W73" s="179">
        <f t="shared" ref="W73:W75" si="51">S73</f>
        <v>65</v>
      </c>
      <c r="X73" s="295"/>
      <c r="Y73" s="180">
        <f t="shared" ref="Y73:Y75" si="52">W73/E73*100</f>
        <v>76.470588235294116</v>
      </c>
      <c r="Z73" s="292"/>
      <c r="AA73" s="275"/>
      <c r="AB73" s="276"/>
      <c r="AC73" s="75"/>
      <c r="AD73" s="75"/>
      <c r="AE73" s="76"/>
    </row>
    <row r="74" spans="1:41" s="77" customFormat="1" ht="40.5" customHeight="1" x14ac:dyDescent="0.25">
      <c r="A74" s="398"/>
      <c r="B74" s="379"/>
      <c r="C74" s="160" t="s">
        <v>89</v>
      </c>
      <c r="D74" s="161" t="s">
        <v>124</v>
      </c>
      <c r="E74" s="177">
        <v>3.5</v>
      </c>
      <c r="F74" s="301"/>
      <c r="G74" s="177">
        <v>2</v>
      </c>
      <c r="H74" s="301"/>
      <c r="I74" s="177">
        <v>2.5</v>
      </c>
      <c r="J74" s="301"/>
      <c r="K74" s="176">
        <f>K77/I77*100</f>
        <v>0</v>
      </c>
      <c r="L74" s="288"/>
      <c r="M74" s="176">
        <v>0</v>
      </c>
      <c r="N74" s="288"/>
      <c r="O74" s="130"/>
      <c r="P74" s="288"/>
      <c r="Q74" s="144"/>
      <c r="R74" s="288"/>
      <c r="S74" s="178">
        <f t="shared" si="50"/>
        <v>0</v>
      </c>
      <c r="T74" s="298"/>
      <c r="U74" s="178">
        <f t="shared" ref="U74:U75" si="53">S74/I74*100</f>
        <v>0</v>
      </c>
      <c r="V74" s="292"/>
      <c r="W74" s="179">
        <f t="shared" si="51"/>
        <v>0</v>
      </c>
      <c r="X74" s="295"/>
      <c r="Y74" s="180">
        <f t="shared" si="52"/>
        <v>0</v>
      </c>
      <c r="Z74" s="292"/>
      <c r="AA74" s="275"/>
      <c r="AB74" s="276"/>
      <c r="AC74" s="75"/>
      <c r="AD74" s="75"/>
      <c r="AE74" s="76"/>
    </row>
    <row r="75" spans="1:41" s="77" customFormat="1" ht="20.25" x14ac:dyDescent="0.25">
      <c r="A75" s="398"/>
      <c r="B75" s="379"/>
      <c r="C75" s="160" t="s">
        <v>90</v>
      </c>
      <c r="D75" s="161" t="s">
        <v>124</v>
      </c>
      <c r="E75" s="177">
        <v>28</v>
      </c>
      <c r="F75" s="301"/>
      <c r="G75" s="177">
        <v>18</v>
      </c>
      <c r="H75" s="301"/>
      <c r="I75" s="177">
        <v>20</v>
      </c>
      <c r="J75" s="301"/>
      <c r="K75" s="176">
        <f>K78/I78*100</f>
        <v>0</v>
      </c>
      <c r="L75" s="288"/>
      <c r="M75" s="176">
        <v>0</v>
      </c>
      <c r="N75" s="288"/>
      <c r="O75" s="130"/>
      <c r="P75" s="288"/>
      <c r="Q75" s="144"/>
      <c r="R75" s="288"/>
      <c r="S75" s="178">
        <f t="shared" si="50"/>
        <v>0</v>
      </c>
      <c r="T75" s="298"/>
      <c r="U75" s="178">
        <f t="shared" si="53"/>
        <v>0</v>
      </c>
      <c r="V75" s="292"/>
      <c r="W75" s="179">
        <f t="shared" si="51"/>
        <v>0</v>
      </c>
      <c r="X75" s="295"/>
      <c r="Y75" s="180">
        <f t="shared" si="52"/>
        <v>0</v>
      </c>
      <c r="Z75" s="292"/>
      <c r="AA75" s="275"/>
      <c r="AB75" s="276"/>
      <c r="AC75" s="75"/>
      <c r="AD75" s="75"/>
      <c r="AE75" s="76"/>
    </row>
    <row r="76" spans="1:41" s="77" customFormat="1" ht="40.5" x14ac:dyDescent="0.25">
      <c r="A76" s="316" t="s">
        <v>158</v>
      </c>
      <c r="B76" s="422" t="s">
        <v>116</v>
      </c>
      <c r="C76" s="71" t="s">
        <v>105</v>
      </c>
      <c r="D76" s="71" t="s">
        <v>128</v>
      </c>
      <c r="E76" s="92">
        <v>9</v>
      </c>
      <c r="F76" s="67">
        <v>984000000</v>
      </c>
      <c r="G76" s="71">
        <v>0</v>
      </c>
      <c r="H76" s="68">
        <v>945903500</v>
      </c>
      <c r="I76" s="92">
        <v>3</v>
      </c>
      <c r="J76" s="68">
        <v>125875000</v>
      </c>
      <c r="K76" s="70">
        <v>0</v>
      </c>
      <c r="L76" s="70">
        <v>0</v>
      </c>
      <c r="M76" s="71">
        <v>3</v>
      </c>
      <c r="N76" s="70">
        <f>126465000-L77</f>
        <v>96465000</v>
      </c>
      <c r="O76" s="71"/>
      <c r="P76" s="70"/>
      <c r="Q76" s="69"/>
      <c r="R76" s="70"/>
      <c r="S76" s="69">
        <f t="shared" si="34"/>
        <v>3</v>
      </c>
      <c r="T76" s="72">
        <f>L76+N76+P76+R76</f>
        <v>96465000</v>
      </c>
      <c r="U76" s="131">
        <f>S76/I76*100</f>
        <v>100</v>
      </c>
      <c r="V76" s="132">
        <f>T76/J76*100</f>
        <v>76.635551142005951</v>
      </c>
      <c r="W76" s="132">
        <f>S76</f>
        <v>3</v>
      </c>
      <c r="X76" s="78">
        <f>T76</f>
        <v>96465000</v>
      </c>
      <c r="Y76" s="132">
        <f>W76/E76*100</f>
        <v>33.333333333333329</v>
      </c>
      <c r="Z76" s="132">
        <f>X76/F76*100</f>
        <v>9.8033536585365866</v>
      </c>
      <c r="AA76" s="73"/>
      <c r="AB76" s="74"/>
      <c r="AC76" s="75"/>
      <c r="AD76" s="75"/>
      <c r="AE76" s="76"/>
    </row>
    <row r="77" spans="1:41" s="77" customFormat="1" ht="45.75" customHeight="1" x14ac:dyDescent="0.25">
      <c r="A77" s="317"/>
      <c r="B77" s="423"/>
      <c r="C77" s="71" t="s">
        <v>106</v>
      </c>
      <c r="D77" s="71" t="s">
        <v>128</v>
      </c>
      <c r="E77" s="92">
        <v>8</v>
      </c>
      <c r="F77" s="67">
        <v>8523000000</v>
      </c>
      <c r="G77" s="71">
        <v>1</v>
      </c>
      <c r="H77" s="68">
        <v>829730000</v>
      </c>
      <c r="I77" s="92">
        <v>2</v>
      </c>
      <c r="J77" s="68">
        <f>1520000000-J76</f>
        <v>1394125000</v>
      </c>
      <c r="K77" s="70">
        <v>0</v>
      </c>
      <c r="L77" s="70">
        <v>30000000</v>
      </c>
      <c r="M77" s="187">
        <v>0</v>
      </c>
      <c r="N77" s="70">
        <v>0</v>
      </c>
      <c r="O77" s="71"/>
      <c r="P77" s="70"/>
      <c r="Q77" s="69"/>
      <c r="R77" s="70"/>
      <c r="S77" s="69">
        <f t="shared" si="34"/>
        <v>0</v>
      </c>
      <c r="T77" s="72">
        <f t="shared" ref="T77:T79" si="54">L77+N77+P77+R77</f>
        <v>30000000</v>
      </c>
      <c r="U77" s="131">
        <f t="shared" ref="U77:U79" si="55">S77/I77*100</f>
        <v>0</v>
      </c>
      <c r="V77" s="74">
        <f t="shared" ref="V77:V79" si="56">T77/J77*100</f>
        <v>2.151887384560208</v>
      </c>
      <c r="W77" s="132">
        <f t="shared" si="32"/>
        <v>0</v>
      </c>
      <c r="X77" s="78">
        <f t="shared" ref="X77:X79" si="57">T77</f>
        <v>30000000</v>
      </c>
      <c r="Y77" s="132">
        <f t="shared" ref="Y77:Y79" si="58">W77/E77*100</f>
        <v>0</v>
      </c>
      <c r="Z77" s="74">
        <f t="shared" ref="Z77:Z88" si="59">X77/F77*100</f>
        <v>0.35198873636043648</v>
      </c>
      <c r="AA77" s="73"/>
      <c r="AB77" s="74"/>
      <c r="AC77" s="75"/>
      <c r="AD77" s="75"/>
      <c r="AE77" s="76"/>
    </row>
    <row r="78" spans="1:41" s="77" customFormat="1" ht="39" customHeight="1" x14ac:dyDescent="0.25">
      <c r="A78" s="83" t="s">
        <v>159</v>
      </c>
      <c r="B78" s="220" t="s">
        <v>201</v>
      </c>
      <c r="C78" s="71" t="s">
        <v>107</v>
      </c>
      <c r="D78" s="71" t="s">
        <v>128</v>
      </c>
      <c r="E78" s="92">
        <v>5</v>
      </c>
      <c r="F78" s="67">
        <v>990000000</v>
      </c>
      <c r="G78" s="71">
        <v>1</v>
      </c>
      <c r="H78" s="68">
        <v>74530000</v>
      </c>
      <c r="I78" s="92">
        <v>1</v>
      </c>
      <c r="J78" s="68">
        <v>220000000</v>
      </c>
      <c r="K78" s="70">
        <v>0</v>
      </c>
      <c r="L78" s="70">
        <v>0</v>
      </c>
      <c r="M78" s="187">
        <v>0</v>
      </c>
      <c r="N78" s="70">
        <f>66611000</f>
        <v>66611000</v>
      </c>
      <c r="O78" s="71"/>
      <c r="P78" s="70"/>
      <c r="Q78" s="69"/>
      <c r="R78" s="70"/>
      <c r="S78" s="69">
        <f t="shared" si="34"/>
        <v>0</v>
      </c>
      <c r="T78" s="72">
        <f t="shared" si="54"/>
        <v>66611000</v>
      </c>
      <c r="U78" s="131">
        <f t="shared" si="55"/>
        <v>0</v>
      </c>
      <c r="V78" s="132">
        <f t="shared" si="56"/>
        <v>30.277727272727272</v>
      </c>
      <c r="W78" s="132">
        <f t="shared" si="32"/>
        <v>0</v>
      </c>
      <c r="X78" s="78">
        <f t="shared" si="57"/>
        <v>66611000</v>
      </c>
      <c r="Y78" s="132">
        <f t="shared" si="58"/>
        <v>0</v>
      </c>
      <c r="Z78" s="132">
        <f t="shared" si="59"/>
        <v>6.7283838383838388</v>
      </c>
      <c r="AA78" s="73"/>
      <c r="AB78" s="74"/>
      <c r="AC78" s="75"/>
      <c r="AD78" s="75"/>
      <c r="AE78" s="76"/>
    </row>
    <row r="79" spans="1:41" s="77" customFormat="1" ht="83.25" customHeight="1" x14ac:dyDescent="0.25">
      <c r="A79" s="83" t="s">
        <v>160</v>
      </c>
      <c r="B79" s="94" t="s">
        <v>91</v>
      </c>
      <c r="C79" s="71" t="s">
        <v>108</v>
      </c>
      <c r="D79" s="71" t="s">
        <v>128</v>
      </c>
      <c r="E79" s="92">
        <v>8</v>
      </c>
      <c r="F79" s="67">
        <v>1990000000</v>
      </c>
      <c r="G79" s="71">
        <v>2</v>
      </c>
      <c r="H79" s="68">
        <v>116400000</v>
      </c>
      <c r="I79" s="92">
        <v>1</v>
      </c>
      <c r="J79" s="68">
        <v>190000000</v>
      </c>
      <c r="K79" s="70">
        <v>0</v>
      </c>
      <c r="L79" s="70">
        <v>0</v>
      </c>
      <c r="M79" s="187">
        <v>0</v>
      </c>
      <c r="N79" s="70">
        <f>48685000</f>
        <v>48685000</v>
      </c>
      <c r="O79" s="71"/>
      <c r="P79" s="70"/>
      <c r="Q79" s="69"/>
      <c r="R79" s="70"/>
      <c r="S79" s="69">
        <f t="shared" si="34"/>
        <v>0</v>
      </c>
      <c r="T79" s="72">
        <f t="shared" si="54"/>
        <v>48685000</v>
      </c>
      <c r="U79" s="131">
        <f t="shared" si="55"/>
        <v>0</v>
      </c>
      <c r="V79" s="132">
        <f t="shared" si="56"/>
        <v>25.623684210526314</v>
      </c>
      <c r="W79" s="132">
        <f t="shared" si="32"/>
        <v>0</v>
      </c>
      <c r="X79" s="78">
        <f t="shared" si="57"/>
        <v>48685000</v>
      </c>
      <c r="Y79" s="132">
        <f t="shared" si="58"/>
        <v>0</v>
      </c>
      <c r="Z79" s="132">
        <f t="shared" si="59"/>
        <v>2.4464824120603015</v>
      </c>
      <c r="AA79" s="73"/>
      <c r="AB79" s="74"/>
      <c r="AC79" s="75"/>
      <c r="AD79" s="75"/>
      <c r="AE79" s="76"/>
    </row>
    <row r="80" spans="1:41" s="77" customFormat="1" ht="42" customHeight="1" x14ac:dyDescent="0.25">
      <c r="A80" s="285" t="s">
        <v>183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6"/>
      <c r="U80" s="164">
        <f>AVERAGE(U76:U79)</f>
        <v>25</v>
      </c>
      <c r="V80" s="147">
        <f t="shared" ref="V80:Z80" si="60">AVERAGE(V76:V79)</f>
        <v>33.67221250245494</v>
      </c>
      <c r="W80" s="164">
        <f t="shared" si="60"/>
        <v>0.75</v>
      </c>
      <c r="X80" s="133"/>
      <c r="Y80" s="164">
        <f t="shared" si="60"/>
        <v>8.3333333333333321</v>
      </c>
      <c r="Z80" s="147">
        <f t="shared" si="60"/>
        <v>4.8325521613352906</v>
      </c>
      <c r="AA80" s="147"/>
      <c r="AB80" s="148"/>
      <c r="AC80" s="86"/>
      <c r="AD80" s="86"/>
      <c r="AE80" s="134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</row>
    <row r="81" spans="1:31" s="186" customFormat="1" ht="20.25" x14ac:dyDescent="0.25">
      <c r="A81" s="399" t="s">
        <v>162</v>
      </c>
      <c r="B81" s="361" t="s">
        <v>92</v>
      </c>
      <c r="C81" s="227" t="s">
        <v>205</v>
      </c>
      <c r="D81" s="161" t="s">
        <v>124</v>
      </c>
      <c r="E81" s="177">
        <v>60</v>
      </c>
      <c r="F81" s="421">
        <f>SUM(F89:F93)</f>
        <v>27860000000</v>
      </c>
      <c r="G81" s="177">
        <v>4</v>
      </c>
      <c r="H81" s="300">
        <f>SUM(H89:H93)</f>
        <v>1596249000</v>
      </c>
      <c r="I81" s="228">
        <v>20</v>
      </c>
      <c r="J81" s="300">
        <f>SUM(J89:J93)</f>
        <v>1710000000</v>
      </c>
      <c r="K81" s="176">
        <f>K89/I89*100</f>
        <v>0</v>
      </c>
      <c r="L81" s="290">
        <f>SUM(L89:L93)</f>
        <v>198212000</v>
      </c>
      <c r="M81" s="176">
        <v>25</v>
      </c>
      <c r="N81" s="290">
        <f>N89+N90+N91+N92+N93</f>
        <v>928737000</v>
      </c>
      <c r="O81" s="130"/>
      <c r="P81" s="287"/>
      <c r="Q81" s="144"/>
      <c r="R81" s="287"/>
      <c r="S81" s="178">
        <f>K81+M81+O81+Q81</f>
        <v>25</v>
      </c>
      <c r="T81" s="297">
        <f>L81+N81+P81+R81</f>
        <v>1126949000</v>
      </c>
      <c r="U81" s="159">
        <f>S81/I81*100</f>
        <v>125</v>
      </c>
      <c r="V81" s="291">
        <f>T81/J81*100</f>
        <v>65.903450292397665</v>
      </c>
      <c r="W81" s="139">
        <f>S81</f>
        <v>25</v>
      </c>
      <c r="X81" s="294">
        <f>T81</f>
        <v>1126949000</v>
      </c>
      <c r="Y81" s="139">
        <f>W81/E81</f>
        <v>0.41666666666666669</v>
      </c>
      <c r="Z81" s="291">
        <f>X81/F81*100</f>
        <v>4.0450430725053836</v>
      </c>
      <c r="AA81" s="273" t="s">
        <v>197</v>
      </c>
      <c r="AB81" s="274"/>
      <c r="AC81" s="184"/>
      <c r="AD81" s="184"/>
      <c r="AE81" s="185"/>
    </row>
    <row r="82" spans="1:31" s="186" customFormat="1" ht="47.25" customHeight="1" x14ac:dyDescent="0.25">
      <c r="A82" s="400"/>
      <c r="B82" s="362"/>
      <c r="C82" s="227" t="s">
        <v>93</v>
      </c>
      <c r="D82" s="161" t="s">
        <v>124</v>
      </c>
      <c r="E82" s="224">
        <v>90</v>
      </c>
      <c r="F82" s="301"/>
      <c r="G82" s="177">
        <v>40</v>
      </c>
      <c r="H82" s="301"/>
      <c r="I82" s="177">
        <v>50</v>
      </c>
      <c r="J82" s="301"/>
      <c r="K82" s="176">
        <f t="shared" ref="K82:K83" si="61">K90/I90*100</f>
        <v>0</v>
      </c>
      <c r="L82" s="288"/>
      <c r="M82" s="176">
        <v>0</v>
      </c>
      <c r="N82" s="288"/>
      <c r="O82" s="130"/>
      <c r="P82" s="288"/>
      <c r="Q82" s="144"/>
      <c r="R82" s="288"/>
      <c r="S82" s="178">
        <f t="shared" ref="S82:S93" si="62">K82+M82+O82+Q82</f>
        <v>0</v>
      </c>
      <c r="T82" s="298"/>
      <c r="U82" s="159">
        <v>0</v>
      </c>
      <c r="V82" s="292"/>
      <c r="W82" s="139">
        <f t="shared" ref="W82:W93" si="63">S82</f>
        <v>0</v>
      </c>
      <c r="X82" s="295"/>
      <c r="Y82" s="139">
        <f t="shared" ref="Y82:Y93" si="64">W82/E82</f>
        <v>0</v>
      </c>
      <c r="Z82" s="292"/>
      <c r="AA82" s="275"/>
      <c r="AB82" s="276"/>
      <c r="AC82" s="184"/>
      <c r="AD82" s="184"/>
      <c r="AE82" s="185"/>
    </row>
    <row r="83" spans="1:31" s="186" customFormat="1" ht="32.25" customHeight="1" x14ac:dyDescent="0.25">
      <c r="A83" s="400"/>
      <c r="B83" s="362"/>
      <c r="C83" s="227" t="s">
        <v>206</v>
      </c>
      <c r="D83" s="161" t="s">
        <v>124</v>
      </c>
      <c r="E83" s="224">
        <v>70</v>
      </c>
      <c r="F83" s="301"/>
      <c r="G83" s="177">
        <v>10</v>
      </c>
      <c r="H83" s="301"/>
      <c r="I83" s="177">
        <v>30</v>
      </c>
      <c r="J83" s="301"/>
      <c r="K83" s="176">
        <f t="shared" si="61"/>
        <v>0</v>
      </c>
      <c r="L83" s="288"/>
      <c r="M83" s="176">
        <v>65</v>
      </c>
      <c r="N83" s="288"/>
      <c r="O83" s="130"/>
      <c r="P83" s="288"/>
      <c r="Q83" s="144"/>
      <c r="R83" s="288"/>
      <c r="S83" s="178">
        <f t="shared" si="62"/>
        <v>65</v>
      </c>
      <c r="T83" s="298"/>
      <c r="U83" s="159">
        <f t="shared" ref="U83:U86" si="65">S83/I83*100</f>
        <v>216.66666666666666</v>
      </c>
      <c r="V83" s="292"/>
      <c r="W83" s="139">
        <f t="shared" si="63"/>
        <v>65</v>
      </c>
      <c r="X83" s="295"/>
      <c r="Y83" s="139">
        <f t="shared" si="64"/>
        <v>0.9285714285714286</v>
      </c>
      <c r="Z83" s="292"/>
      <c r="AA83" s="275"/>
      <c r="AB83" s="276"/>
      <c r="AC83" s="184"/>
      <c r="AD83" s="184"/>
      <c r="AE83" s="185"/>
    </row>
    <row r="84" spans="1:31" s="186" customFormat="1" ht="35.25" customHeight="1" x14ac:dyDescent="0.25">
      <c r="A84" s="400"/>
      <c r="B84" s="362"/>
      <c r="C84" s="227" t="s">
        <v>207</v>
      </c>
      <c r="D84" s="161" t="s">
        <v>124</v>
      </c>
      <c r="E84" s="177">
        <v>45</v>
      </c>
      <c r="F84" s="301"/>
      <c r="G84" s="177">
        <v>4</v>
      </c>
      <c r="H84" s="301"/>
      <c r="I84" s="228">
        <v>10</v>
      </c>
      <c r="J84" s="301"/>
      <c r="K84" s="176">
        <f>K92/I92*100</f>
        <v>0</v>
      </c>
      <c r="L84" s="288"/>
      <c r="M84" s="176">
        <v>0</v>
      </c>
      <c r="N84" s="288"/>
      <c r="O84" s="130"/>
      <c r="P84" s="288"/>
      <c r="Q84" s="144"/>
      <c r="R84" s="288"/>
      <c r="S84" s="178">
        <f t="shared" si="62"/>
        <v>0</v>
      </c>
      <c r="T84" s="298"/>
      <c r="U84" s="159">
        <f t="shared" si="65"/>
        <v>0</v>
      </c>
      <c r="V84" s="292"/>
      <c r="W84" s="139">
        <f t="shared" si="63"/>
        <v>0</v>
      </c>
      <c r="X84" s="295"/>
      <c r="Y84" s="139">
        <f t="shared" si="64"/>
        <v>0</v>
      </c>
      <c r="Z84" s="292"/>
      <c r="AA84" s="275"/>
      <c r="AB84" s="276"/>
      <c r="AC84" s="184"/>
      <c r="AD84" s="184"/>
      <c r="AE84" s="185"/>
    </row>
    <row r="85" spans="1:31" s="186" customFormat="1" ht="35.25" customHeight="1" x14ac:dyDescent="0.25">
      <c r="A85" s="400"/>
      <c r="B85" s="362"/>
      <c r="C85" s="227" t="s">
        <v>94</v>
      </c>
      <c r="D85" s="161" t="s">
        <v>124</v>
      </c>
      <c r="E85" s="177">
        <v>40</v>
      </c>
      <c r="F85" s="301"/>
      <c r="G85" s="177">
        <v>16</v>
      </c>
      <c r="H85" s="301"/>
      <c r="I85" s="228">
        <v>20</v>
      </c>
      <c r="J85" s="301"/>
      <c r="K85" s="176"/>
      <c r="L85" s="288"/>
      <c r="M85" s="176"/>
      <c r="N85" s="288"/>
      <c r="O85" s="130"/>
      <c r="P85" s="288"/>
      <c r="Q85" s="144"/>
      <c r="R85" s="288"/>
      <c r="S85" s="178"/>
      <c r="T85" s="298"/>
      <c r="U85" s="159"/>
      <c r="V85" s="292"/>
      <c r="W85" s="139"/>
      <c r="X85" s="295"/>
      <c r="Y85" s="139"/>
      <c r="Z85" s="292"/>
      <c r="AA85" s="275"/>
      <c r="AB85" s="276"/>
      <c r="AC85" s="184"/>
      <c r="AD85" s="184"/>
      <c r="AE85" s="185"/>
    </row>
    <row r="86" spans="1:31" s="186" customFormat="1" ht="38.25" customHeight="1" x14ac:dyDescent="0.25">
      <c r="A86" s="401"/>
      <c r="B86" s="363"/>
      <c r="C86" s="227" t="s">
        <v>95</v>
      </c>
      <c r="D86" s="161" t="s">
        <v>124</v>
      </c>
      <c r="E86" s="177">
        <v>65</v>
      </c>
      <c r="F86" s="302"/>
      <c r="G86" s="177">
        <v>30</v>
      </c>
      <c r="H86" s="302"/>
      <c r="I86" s="177">
        <v>40</v>
      </c>
      <c r="J86" s="302"/>
      <c r="K86" s="176">
        <v>0</v>
      </c>
      <c r="L86" s="289"/>
      <c r="M86" s="176">
        <v>0</v>
      </c>
      <c r="N86" s="289"/>
      <c r="O86" s="130"/>
      <c r="P86" s="289"/>
      <c r="Q86" s="144"/>
      <c r="R86" s="289"/>
      <c r="S86" s="178">
        <f t="shared" si="62"/>
        <v>0</v>
      </c>
      <c r="T86" s="299"/>
      <c r="U86" s="159">
        <f t="shared" si="65"/>
        <v>0</v>
      </c>
      <c r="V86" s="293"/>
      <c r="W86" s="139">
        <f t="shared" si="63"/>
        <v>0</v>
      </c>
      <c r="X86" s="296"/>
      <c r="Y86" s="139">
        <f t="shared" si="64"/>
        <v>0</v>
      </c>
      <c r="Z86" s="293"/>
      <c r="AA86" s="277"/>
      <c r="AB86" s="278"/>
      <c r="AC86" s="184"/>
      <c r="AD86" s="184"/>
      <c r="AE86" s="185"/>
    </row>
    <row r="87" spans="1:31" s="77" customFormat="1" ht="61.5" hidden="1" customHeight="1" x14ac:dyDescent="0.25">
      <c r="A87" s="83"/>
      <c r="B87" s="95" t="s">
        <v>161</v>
      </c>
      <c r="C87" s="71" t="s">
        <v>109</v>
      </c>
      <c r="D87" s="71"/>
      <c r="E87" s="92">
        <v>4</v>
      </c>
      <c r="F87" s="67">
        <v>400000000</v>
      </c>
      <c r="G87" s="71">
        <v>0</v>
      </c>
      <c r="H87" s="68"/>
      <c r="I87" s="92">
        <v>0</v>
      </c>
      <c r="J87" s="70">
        <v>0</v>
      </c>
      <c r="K87" s="70">
        <v>0</v>
      </c>
      <c r="L87" s="70">
        <v>0</v>
      </c>
      <c r="M87" s="71"/>
      <c r="N87" s="70"/>
      <c r="O87" s="71"/>
      <c r="P87" s="70"/>
      <c r="Q87" s="69"/>
      <c r="R87" s="70"/>
      <c r="S87" s="178">
        <f t="shared" si="62"/>
        <v>0</v>
      </c>
      <c r="T87" s="72">
        <f t="shared" si="35"/>
        <v>0</v>
      </c>
      <c r="U87" s="159" t="e">
        <f t="shared" ref="U87:U93" si="66">S87/I87*100</f>
        <v>#DIV/0!</v>
      </c>
      <c r="V87" s="74">
        <f t="shared" ref="V87:V88" si="67">T87/F87*100</f>
        <v>0</v>
      </c>
      <c r="W87" s="139">
        <f t="shared" si="63"/>
        <v>0</v>
      </c>
      <c r="X87" s="74">
        <f t="shared" si="20"/>
        <v>0</v>
      </c>
      <c r="Y87" s="139">
        <f t="shared" si="64"/>
        <v>0</v>
      </c>
      <c r="Z87" s="74">
        <f t="shared" si="59"/>
        <v>0</v>
      </c>
      <c r="AA87" s="73"/>
      <c r="AB87" s="74"/>
      <c r="AC87" s="75"/>
      <c r="AD87" s="75"/>
      <c r="AE87" s="76"/>
    </row>
    <row r="88" spans="1:31" s="77" customFormat="1" ht="52.5" hidden="1" customHeight="1" x14ac:dyDescent="0.25">
      <c r="A88" s="83"/>
      <c r="B88" s="96"/>
      <c r="C88" s="71" t="s">
        <v>110</v>
      </c>
      <c r="D88" s="71"/>
      <c r="E88" s="92">
        <v>12</v>
      </c>
      <c r="F88" s="67">
        <v>1000000000</v>
      </c>
      <c r="G88" s="71">
        <v>0</v>
      </c>
      <c r="H88" s="68"/>
      <c r="I88" s="92">
        <v>0</v>
      </c>
      <c r="J88" s="70">
        <v>0</v>
      </c>
      <c r="K88" s="70">
        <v>0</v>
      </c>
      <c r="L88" s="70">
        <v>0</v>
      </c>
      <c r="M88" s="71"/>
      <c r="N88" s="70"/>
      <c r="O88" s="71"/>
      <c r="P88" s="70"/>
      <c r="Q88" s="69"/>
      <c r="R88" s="70"/>
      <c r="S88" s="178">
        <f t="shared" si="62"/>
        <v>0</v>
      </c>
      <c r="T88" s="72">
        <f t="shared" si="35"/>
        <v>0</v>
      </c>
      <c r="U88" s="159" t="e">
        <f t="shared" si="66"/>
        <v>#DIV/0!</v>
      </c>
      <c r="V88" s="74">
        <f t="shared" si="67"/>
        <v>0</v>
      </c>
      <c r="W88" s="139">
        <f t="shared" si="63"/>
        <v>0</v>
      </c>
      <c r="X88" s="74">
        <f t="shared" si="20"/>
        <v>0</v>
      </c>
      <c r="Y88" s="139">
        <f t="shared" si="64"/>
        <v>0</v>
      </c>
      <c r="Z88" s="74">
        <f t="shared" si="59"/>
        <v>0</v>
      </c>
      <c r="AA88" s="73"/>
      <c r="AB88" s="74"/>
      <c r="AC88" s="75"/>
      <c r="AD88" s="75"/>
      <c r="AE88" s="76"/>
    </row>
    <row r="89" spans="1:31" s="77" customFormat="1" ht="40.5" x14ac:dyDescent="0.25">
      <c r="A89" s="97" t="s">
        <v>163</v>
      </c>
      <c r="B89" s="96" t="s">
        <v>164</v>
      </c>
      <c r="C89" s="71" t="s">
        <v>111</v>
      </c>
      <c r="D89" s="71" t="s">
        <v>128</v>
      </c>
      <c r="E89" s="92">
        <v>5</v>
      </c>
      <c r="F89" s="67">
        <v>6060000000</v>
      </c>
      <c r="G89" s="71">
        <v>0</v>
      </c>
      <c r="H89" s="98">
        <v>116682000</v>
      </c>
      <c r="I89" s="92">
        <v>1</v>
      </c>
      <c r="J89" s="68">
        <v>60000000</v>
      </c>
      <c r="K89" s="70">
        <v>0</v>
      </c>
      <c r="L89" s="70">
        <v>0</v>
      </c>
      <c r="M89" s="187">
        <v>0</v>
      </c>
      <c r="N89" s="70">
        <v>0</v>
      </c>
      <c r="O89" s="71"/>
      <c r="P89" s="70"/>
      <c r="Q89" s="69"/>
      <c r="R89" s="70"/>
      <c r="S89" s="187">
        <f t="shared" si="62"/>
        <v>0</v>
      </c>
      <c r="T89" s="149">
        <f>L89+N89+P89+R89</f>
        <v>0</v>
      </c>
      <c r="U89" s="188">
        <f t="shared" si="66"/>
        <v>0</v>
      </c>
      <c r="V89" s="151">
        <f>T89/J89*100</f>
        <v>0</v>
      </c>
      <c r="W89" s="151">
        <f t="shared" si="63"/>
        <v>0</v>
      </c>
      <c r="X89" s="152">
        <f>T89</f>
        <v>0</v>
      </c>
      <c r="Y89" s="151">
        <f t="shared" si="64"/>
        <v>0</v>
      </c>
      <c r="Z89" s="151">
        <f>X89/F89*100</f>
        <v>0</v>
      </c>
      <c r="AA89" s="150"/>
      <c r="AB89" s="141"/>
      <c r="AC89" s="75"/>
      <c r="AD89" s="75"/>
      <c r="AE89" s="76"/>
    </row>
    <row r="90" spans="1:31" s="77" customFormat="1" ht="72.75" customHeight="1" x14ac:dyDescent="0.25">
      <c r="A90" s="97" t="s">
        <v>165</v>
      </c>
      <c r="B90" s="99" t="s">
        <v>161</v>
      </c>
      <c r="C90" s="71" t="s">
        <v>112</v>
      </c>
      <c r="D90" s="71" t="s">
        <v>128</v>
      </c>
      <c r="E90" s="92">
        <v>13</v>
      </c>
      <c r="F90" s="67">
        <v>13600000000</v>
      </c>
      <c r="G90" s="71">
        <v>3</v>
      </c>
      <c r="H90" s="98">
        <v>602820000</v>
      </c>
      <c r="I90" s="92">
        <v>2</v>
      </c>
      <c r="J90" s="68">
        <v>600000000</v>
      </c>
      <c r="K90" s="70">
        <v>0</v>
      </c>
      <c r="L90" s="70">
        <v>0</v>
      </c>
      <c r="M90" s="187">
        <v>2</v>
      </c>
      <c r="N90" s="70">
        <v>600000000</v>
      </c>
      <c r="O90" s="71"/>
      <c r="P90" s="70"/>
      <c r="Q90" s="69"/>
      <c r="R90" s="70"/>
      <c r="S90" s="187">
        <f t="shared" si="62"/>
        <v>2</v>
      </c>
      <c r="T90" s="149">
        <f t="shared" ref="T90:T93" si="68">L90+N90+P90+R90</f>
        <v>600000000</v>
      </c>
      <c r="U90" s="188">
        <f t="shared" si="66"/>
        <v>100</v>
      </c>
      <c r="V90" s="151">
        <f t="shared" ref="V90:V93" si="69">T90/J90*100</f>
        <v>100</v>
      </c>
      <c r="W90" s="151">
        <f t="shared" si="63"/>
        <v>2</v>
      </c>
      <c r="X90" s="152">
        <f t="shared" ref="X90:X93" si="70">T90</f>
        <v>600000000</v>
      </c>
      <c r="Y90" s="151">
        <f t="shared" si="64"/>
        <v>0.15384615384615385</v>
      </c>
      <c r="Z90" s="151">
        <f t="shared" ref="Z90:Z93" si="71">X90/F90*100</f>
        <v>4.4117647058823533</v>
      </c>
      <c r="AA90" s="150"/>
      <c r="AB90" s="141"/>
      <c r="AC90" s="75"/>
      <c r="AD90" s="75"/>
      <c r="AE90" s="76"/>
    </row>
    <row r="91" spans="1:31" s="77" customFormat="1" ht="105" customHeight="1" x14ac:dyDescent="0.25">
      <c r="A91" s="316" t="s">
        <v>167</v>
      </c>
      <c r="B91" s="359" t="s">
        <v>166</v>
      </c>
      <c r="C91" s="71" t="s">
        <v>113</v>
      </c>
      <c r="D91" s="71" t="s">
        <v>128</v>
      </c>
      <c r="E91" s="92">
        <v>5</v>
      </c>
      <c r="F91" s="67">
        <v>1400000000</v>
      </c>
      <c r="G91" s="71">
        <v>1</v>
      </c>
      <c r="H91" s="68">
        <v>13190000</v>
      </c>
      <c r="I91" s="92">
        <v>1</v>
      </c>
      <c r="J91" s="68">
        <v>100000000</v>
      </c>
      <c r="K91" s="70">
        <v>0</v>
      </c>
      <c r="L91" s="70">
        <v>0</v>
      </c>
      <c r="M91" s="187">
        <v>0</v>
      </c>
      <c r="N91" s="70">
        <f>139780000/2</f>
        <v>69890000</v>
      </c>
      <c r="O91" s="71"/>
      <c r="P91" s="70"/>
      <c r="Q91" s="69"/>
      <c r="R91" s="70"/>
      <c r="S91" s="187">
        <f t="shared" si="62"/>
        <v>0</v>
      </c>
      <c r="T91" s="149">
        <f t="shared" si="68"/>
        <v>69890000</v>
      </c>
      <c r="U91" s="188">
        <f t="shared" si="66"/>
        <v>0</v>
      </c>
      <c r="V91" s="151">
        <f t="shared" si="69"/>
        <v>69.89</v>
      </c>
      <c r="W91" s="151">
        <f t="shared" si="63"/>
        <v>0</v>
      </c>
      <c r="X91" s="152">
        <f t="shared" si="70"/>
        <v>69890000</v>
      </c>
      <c r="Y91" s="151">
        <f t="shared" si="64"/>
        <v>0</v>
      </c>
      <c r="Z91" s="151">
        <f t="shared" si="71"/>
        <v>4.9921428571428565</v>
      </c>
      <c r="AA91" s="150"/>
      <c r="AB91" s="141"/>
      <c r="AC91" s="75"/>
      <c r="AD91" s="75"/>
      <c r="AE91" s="76"/>
    </row>
    <row r="92" spans="1:31" s="77" customFormat="1" ht="61.5" customHeight="1" x14ac:dyDescent="0.25">
      <c r="A92" s="317"/>
      <c r="B92" s="360"/>
      <c r="C92" s="71" t="s">
        <v>114</v>
      </c>
      <c r="D92" s="71" t="s">
        <v>128</v>
      </c>
      <c r="E92" s="92">
        <v>5</v>
      </c>
      <c r="F92" s="67">
        <v>1000000000</v>
      </c>
      <c r="G92" s="71">
        <v>1</v>
      </c>
      <c r="H92" s="68">
        <v>97480000</v>
      </c>
      <c r="I92" s="92">
        <v>1</v>
      </c>
      <c r="J92" s="68">
        <v>100000000</v>
      </c>
      <c r="K92" s="70">
        <v>0</v>
      </c>
      <c r="L92" s="70">
        <v>25720000</v>
      </c>
      <c r="M92" s="187">
        <v>0</v>
      </c>
      <c r="N92" s="70">
        <f>N91-L92</f>
        <v>44170000</v>
      </c>
      <c r="O92" s="71"/>
      <c r="P92" s="70"/>
      <c r="Q92" s="69"/>
      <c r="R92" s="70"/>
      <c r="S92" s="187">
        <f t="shared" si="62"/>
        <v>0</v>
      </c>
      <c r="T92" s="149">
        <f t="shared" si="68"/>
        <v>69890000</v>
      </c>
      <c r="U92" s="188">
        <f t="shared" si="66"/>
        <v>0</v>
      </c>
      <c r="V92" s="141">
        <f t="shared" si="69"/>
        <v>69.89</v>
      </c>
      <c r="W92" s="151">
        <f t="shared" si="63"/>
        <v>0</v>
      </c>
      <c r="X92" s="152">
        <f t="shared" si="70"/>
        <v>69890000</v>
      </c>
      <c r="Y92" s="151">
        <f t="shared" si="64"/>
        <v>0</v>
      </c>
      <c r="Z92" s="141">
        <f t="shared" si="71"/>
        <v>6.988999999999999</v>
      </c>
      <c r="AA92" s="150"/>
      <c r="AB92" s="141"/>
      <c r="AC92" s="75"/>
      <c r="AD92" s="75"/>
      <c r="AE92" s="76"/>
    </row>
    <row r="93" spans="1:31" s="77" customFormat="1" ht="61.5" customHeight="1" x14ac:dyDescent="0.25">
      <c r="A93" s="316" t="s">
        <v>168</v>
      </c>
      <c r="B93" s="181"/>
      <c r="C93" s="71" t="s">
        <v>115</v>
      </c>
      <c r="D93" s="71" t="s">
        <v>126</v>
      </c>
      <c r="E93" s="92">
        <v>12</v>
      </c>
      <c r="F93" s="67">
        <v>5800000000</v>
      </c>
      <c r="G93" s="71">
        <v>8</v>
      </c>
      <c r="H93" s="68">
        <v>766077000</v>
      </c>
      <c r="I93" s="92">
        <v>12</v>
      </c>
      <c r="J93" s="68">
        <v>850000000</v>
      </c>
      <c r="K93" s="69">
        <v>12</v>
      </c>
      <c r="L93" s="70">
        <v>172492000</v>
      </c>
      <c r="M93" s="187">
        <v>12</v>
      </c>
      <c r="N93" s="70">
        <f>387169000-L93</f>
        <v>214677000</v>
      </c>
      <c r="O93" s="71"/>
      <c r="P93" s="70"/>
      <c r="Q93" s="69"/>
      <c r="R93" s="70"/>
      <c r="S93" s="187">
        <f t="shared" si="62"/>
        <v>24</v>
      </c>
      <c r="T93" s="149">
        <f t="shared" si="68"/>
        <v>387169000</v>
      </c>
      <c r="U93" s="188">
        <f t="shared" si="66"/>
        <v>200</v>
      </c>
      <c r="V93" s="141">
        <f t="shared" si="69"/>
        <v>45.549294117647058</v>
      </c>
      <c r="W93" s="151">
        <f t="shared" si="63"/>
        <v>24</v>
      </c>
      <c r="X93" s="152">
        <f t="shared" si="70"/>
        <v>387169000</v>
      </c>
      <c r="Y93" s="151">
        <f t="shared" si="64"/>
        <v>2</v>
      </c>
      <c r="Z93" s="141">
        <f t="shared" si="71"/>
        <v>6.6753275862068957</v>
      </c>
      <c r="AA93" s="150"/>
      <c r="AB93" s="141"/>
      <c r="AC93" s="75"/>
      <c r="AD93" s="75"/>
      <c r="AE93" s="76"/>
    </row>
    <row r="94" spans="1:31" s="77" customFormat="1" ht="1.5" hidden="1" customHeight="1" x14ac:dyDescent="0.25">
      <c r="A94" s="317"/>
      <c r="B94" s="100"/>
      <c r="C94" s="124" t="s">
        <v>96</v>
      </c>
      <c r="D94" s="124"/>
      <c r="E94" s="101"/>
      <c r="F94" s="102"/>
      <c r="G94" s="125">
        <v>0</v>
      </c>
      <c r="H94" s="98"/>
      <c r="I94" s="126">
        <v>0</v>
      </c>
      <c r="J94" s="98"/>
      <c r="K94" s="101"/>
      <c r="L94" s="103"/>
      <c r="M94" s="104"/>
      <c r="N94" s="103"/>
      <c r="O94" s="104"/>
      <c r="P94" s="103"/>
      <c r="Q94" s="101"/>
      <c r="R94" s="103"/>
      <c r="S94" s="69">
        <f t="shared" si="34"/>
        <v>0</v>
      </c>
      <c r="T94" s="105"/>
      <c r="U94" s="106"/>
      <c r="V94" s="107"/>
      <c r="W94" s="107"/>
      <c r="X94" s="107"/>
      <c r="Y94" s="107"/>
      <c r="Z94" s="107"/>
      <c r="AA94" s="106"/>
      <c r="AB94" s="107"/>
      <c r="AC94" s="75"/>
      <c r="AD94" s="75"/>
      <c r="AE94" s="76"/>
    </row>
    <row r="95" spans="1:31" s="77" customFormat="1" ht="40.5" hidden="1" x14ac:dyDescent="0.25">
      <c r="A95" s="83"/>
      <c r="B95" s="100"/>
      <c r="C95" s="124" t="s">
        <v>97</v>
      </c>
      <c r="D95" s="124"/>
      <c r="E95" s="101"/>
      <c r="F95" s="102"/>
      <c r="G95" s="125">
        <v>0</v>
      </c>
      <c r="H95" s="98"/>
      <c r="I95" s="126">
        <v>0</v>
      </c>
      <c r="J95" s="98"/>
      <c r="K95" s="101"/>
      <c r="L95" s="103"/>
      <c r="M95" s="104"/>
      <c r="N95" s="103"/>
      <c r="O95" s="104"/>
      <c r="P95" s="103"/>
      <c r="Q95" s="101"/>
      <c r="R95" s="103"/>
      <c r="S95" s="69">
        <f t="shared" si="34"/>
        <v>0</v>
      </c>
      <c r="T95" s="105"/>
      <c r="U95" s="106"/>
      <c r="V95" s="107"/>
      <c r="W95" s="107"/>
      <c r="X95" s="107"/>
      <c r="Y95" s="107"/>
      <c r="Z95" s="107"/>
      <c r="AA95" s="106"/>
      <c r="AB95" s="107"/>
      <c r="AC95" s="75"/>
      <c r="AD95" s="75"/>
      <c r="AE95" s="76"/>
    </row>
    <row r="96" spans="1:31" s="119" customFormat="1" ht="60.75" hidden="1" x14ac:dyDescent="0.25">
      <c r="A96" s="83" t="s">
        <v>14</v>
      </c>
      <c r="B96" s="108" t="s">
        <v>15</v>
      </c>
      <c r="C96" s="109" t="s">
        <v>16</v>
      </c>
      <c r="D96" s="109"/>
      <c r="E96" s="110" t="s">
        <v>17</v>
      </c>
      <c r="F96" s="111">
        <v>1073600000</v>
      </c>
      <c r="G96" s="112"/>
      <c r="H96" s="113"/>
      <c r="I96" s="113"/>
      <c r="J96" s="113"/>
      <c r="K96" s="114"/>
      <c r="L96" s="98"/>
      <c r="M96" s="85"/>
      <c r="N96" s="115"/>
      <c r="O96" s="101"/>
      <c r="P96" s="116"/>
      <c r="Q96" s="101"/>
      <c r="R96" s="116"/>
      <c r="S96" s="69">
        <f t="shared" si="34"/>
        <v>0</v>
      </c>
      <c r="T96" s="105"/>
      <c r="U96" s="106"/>
      <c r="V96" s="107"/>
      <c r="W96" s="107"/>
      <c r="X96" s="107"/>
      <c r="Y96" s="107"/>
      <c r="Z96" s="107"/>
      <c r="AA96" s="101"/>
      <c r="AB96" s="107"/>
      <c r="AC96" s="117"/>
      <c r="AD96" s="117"/>
      <c r="AE96" s="118"/>
    </row>
    <row r="97" spans="1:42" s="119" customFormat="1" ht="39" customHeight="1" x14ac:dyDescent="0.25">
      <c r="A97" s="285" t="s">
        <v>183</v>
      </c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6"/>
      <c r="U97" s="194">
        <f>AVERAGE(U89:U93)</f>
        <v>60</v>
      </c>
      <c r="V97" s="194">
        <f t="shared" ref="V97:Z97" si="72">AVERAGE(V89:V93)</f>
        <v>57.065858823529403</v>
      </c>
      <c r="W97" s="194">
        <f t="shared" si="72"/>
        <v>5.2</v>
      </c>
      <c r="X97" s="195"/>
      <c r="Y97" s="194">
        <f t="shared" si="72"/>
        <v>0.43076923076923074</v>
      </c>
      <c r="Z97" s="194">
        <f t="shared" si="72"/>
        <v>4.6136470298464216</v>
      </c>
      <c r="AA97" s="182"/>
      <c r="AB97" s="183"/>
      <c r="AC97" s="196"/>
      <c r="AD97" s="196"/>
      <c r="AE97" s="197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</row>
    <row r="98" spans="1:42" s="119" customFormat="1" ht="39" customHeight="1" x14ac:dyDescent="0.25">
      <c r="A98" s="268" t="s">
        <v>188</v>
      </c>
      <c r="B98" s="268"/>
      <c r="C98" s="268"/>
      <c r="D98" s="268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99">
        <f>AVERAGE(U80,U97)</f>
        <v>42.5</v>
      </c>
      <c r="V98" s="199">
        <f t="shared" ref="V98:Z98" si="73">AVERAGE(V80,V97)</f>
        <v>45.369035662992175</v>
      </c>
      <c r="W98" s="199">
        <f t="shared" si="73"/>
        <v>2.9750000000000001</v>
      </c>
      <c r="X98" s="199"/>
      <c r="Y98" s="199">
        <f t="shared" si="73"/>
        <v>4.3820512820512816</v>
      </c>
      <c r="Z98" s="199">
        <f t="shared" si="73"/>
        <v>4.7230995955908561</v>
      </c>
      <c r="AA98" s="200"/>
      <c r="AB98" s="201"/>
      <c r="AC98" s="191"/>
      <c r="AD98" s="191"/>
      <c r="AE98" s="192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</row>
    <row r="99" spans="1:42" s="119" customFormat="1" ht="39" customHeight="1" x14ac:dyDescent="0.25">
      <c r="A99" s="269" t="s">
        <v>189</v>
      </c>
      <c r="B99" s="270"/>
      <c r="C99" s="270"/>
      <c r="D99" s="271"/>
      <c r="E99" s="153"/>
      <c r="F99" s="190">
        <f>F72+F81</f>
        <v>40347000000</v>
      </c>
      <c r="G99" s="190"/>
      <c r="H99" s="190">
        <f>H72+H81</f>
        <v>3562812500</v>
      </c>
      <c r="I99" s="190"/>
      <c r="J99" s="190">
        <f>J72+J81</f>
        <v>3640000000</v>
      </c>
      <c r="K99" s="190"/>
      <c r="L99" s="190">
        <f t="shared" ref="L99:S99" si="74">L72+L81</f>
        <v>228212000</v>
      </c>
      <c r="M99" s="190">
        <f t="shared" si="74"/>
        <v>25</v>
      </c>
      <c r="N99" s="190">
        <f t="shared" si="74"/>
        <v>1140498000</v>
      </c>
      <c r="O99" s="190">
        <f t="shared" si="74"/>
        <v>0</v>
      </c>
      <c r="P99" s="190">
        <f t="shared" si="74"/>
        <v>0</v>
      </c>
      <c r="Q99" s="190">
        <f t="shared" si="74"/>
        <v>0</v>
      </c>
      <c r="R99" s="190">
        <f t="shared" si="74"/>
        <v>0</v>
      </c>
      <c r="S99" s="190">
        <f t="shared" si="74"/>
        <v>25</v>
      </c>
      <c r="T99" s="190">
        <f>T72+T81</f>
        <v>1368710000</v>
      </c>
      <c r="U99" s="199">
        <f>AVERAGE(U72:U75,U81:U86)</f>
        <v>49.074074074074069</v>
      </c>
      <c r="V99" s="199">
        <f>AVERAGE(V72:V75,V81:V86)</f>
        <v>39.21496348816774</v>
      </c>
      <c r="W99" s="199">
        <f>AVERAGE(W72:W75,W81:W86)</f>
        <v>17.222222222222221</v>
      </c>
      <c r="X99" s="202">
        <f>X72+X81</f>
        <v>1368710000</v>
      </c>
      <c r="Y99" s="199">
        <f>AVERAGE(Y72:Y75,Y81:Y86)</f>
        <v>8.6462029256146913</v>
      </c>
      <c r="Z99" s="199">
        <f>AVERAGE(Z72:Z75,Z81:Z86)</f>
        <v>2.9905723090564074</v>
      </c>
      <c r="AA99" s="200"/>
      <c r="AB99" s="201"/>
      <c r="AC99" s="191"/>
      <c r="AD99" s="191"/>
      <c r="AE99" s="192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</row>
    <row r="100" spans="1:42" s="120" customFormat="1" ht="32.25" customHeight="1" x14ac:dyDescent="0.25">
      <c r="A100" s="384" t="s">
        <v>190</v>
      </c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205"/>
      <c r="T100" s="205"/>
      <c r="U100" s="206">
        <f>AVERAGE(U31,U36,U44,U55,U68,U80,U97)</f>
        <v>38.915737665737666</v>
      </c>
      <c r="V100" s="206">
        <f>AVERAGE(V31,V36,V44,V55,V68,V80,V97)</f>
        <v>37.741842600220032</v>
      </c>
      <c r="W100" s="207"/>
      <c r="X100" s="207"/>
      <c r="Y100" s="206">
        <f>AVERAGE(Y31,Y36,Y44,Y55,Y68,Y80,Y97)</f>
        <v>6.5614575606610135</v>
      </c>
      <c r="Z100" s="206">
        <f>AVERAGE(Z31,Z36,Z44,Z55,Z68,Z80,Z97)</f>
        <v>5.1192243100902912</v>
      </c>
      <c r="AA100" s="206"/>
      <c r="AB100" s="206"/>
      <c r="AC100" s="208"/>
      <c r="AD100" s="209"/>
    </row>
    <row r="101" spans="1:42" s="120" customFormat="1" ht="50.25" customHeight="1" x14ac:dyDescent="0.25">
      <c r="A101" s="272" t="s">
        <v>191</v>
      </c>
      <c r="B101" s="272"/>
      <c r="C101" s="272"/>
      <c r="D101" s="272"/>
      <c r="E101" s="215"/>
      <c r="F101" s="211">
        <f>F46+F70+F99</f>
        <v>79832000000</v>
      </c>
      <c r="G101" s="216"/>
      <c r="H101" s="211">
        <f>H46+H70+H99</f>
        <v>6856725872</v>
      </c>
      <c r="I101" s="216"/>
      <c r="J101" s="211">
        <f>J46+J70+J99</f>
        <v>9030670000</v>
      </c>
      <c r="K101" s="216"/>
      <c r="L101" s="211">
        <f>L46+L70+L99</f>
        <v>969659492</v>
      </c>
      <c r="M101" s="216"/>
      <c r="N101" s="211">
        <f>N46+N70+N99</f>
        <v>2578345489</v>
      </c>
      <c r="O101" s="216"/>
      <c r="P101" s="211">
        <f>P46+P70+P99</f>
        <v>0</v>
      </c>
      <c r="Q101" s="216"/>
      <c r="R101" s="211">
        <f>R46+R70+R99</f>
        <v>0</v>
      </c>
      <c r="S101" s="216"/>
      <c r="T101" s="211">
        <f>T46+T70+T99</f>
        <v>3548004981</v>
      </c>
      <c r="U101" s="216"/>
      <c r="V101" s="216"/>
      <c r="W101" s="216"/>
      <c r="X101" s="211">
        <f>X46+X70+X99</f>
        <v>3548004981</v>
      </c>
      <c r="Y101" s="216"/>
      <c r="Z101" s="216"/>
      <c r="AA101" s="203"/>
      <c r="AB101" s="203"/>
      <c r="AC101" s="204"/>
      <c r="AD101" s="212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4"/>
    </row>
    <row r="102" spans="1:42" s="120" customFormat="1" ht="27.75" customHeight="1" x14ac:dyDescent="0.25">
      <c r="A102" s="272" t="s">
        <v>192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15"/>
      <c r="T102" s="215"/>
      <c r="U102" s="219">
        <f>AVERAGE(U46,U70,U99)</f>
        <v>53.242945326278658</v>
      </c>
      <c r="V102" s="219">
        <f>AVERAGE(V46,V70,V99)</f>
        <v>38.562427198617364</v>
      </c>
      <c r="W102" s="218"/>
      <c r="X102" s="218"/>
      <c r="Y102" s="219">
        <f>AVERAGE(Y46,Y70,Y99)</f>
        <v>34.121262442598869</v>
      </c>
      <c r="Z102" s="219">
        <f>AVERAGE(Z46,Z70,Z99)</f>
        <v>5.0031855536226146</v>
      </c>
      <c r="AA102" s="217"/>
      <c r="AB102" s="217"/>
      <c r="AC102" s="210"/>
      <c r="AD102" s="210"/>
    </row>
    <row r="103" spans="1:42" s="5" customFormat="1" ht="20.25" hidden="1" customHeight="1" x14ac:dyDescent="0.25">
      <c r="A103" s="382"/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3"/>
      <c r="U103" s="6" t="e">
        <f>AVERAGE(#REF!,#REF!,#REF!,#REF!,#REF!,#REF!,#REF!,#REF!,#REF!,#REF!,#REF!,#REF!,#REF!,U9)</f>
        <v>#REF!</v>
      </c>
      <c r="V103" s="6" t="e">
        <f>AVERAGE(#REF!,#REF!,#REF!,#REF!,#REF!,#REF!,#REF!,#REF!,#REF!,#REF!,#REF!,#REF!,#REF!,V9)</f>
        <v>#REF!</v>
      </c>
      <c r="W103" s="6"/>
      <c r="X103" s="6"/>
      <c r="Y103" s="6"/>
      <c r="Z103" s="6"/>
      <c r="AA103" s="6" t="e">
        <f>AVERAGE(#REF!,#REF!,#REF!,#REF!,#REF!,#REF!,#REF!,#REF!,#REF!,#REF!,#REF!,#REF!,#REF!,#REF!)</f>
        <v>#REF!</v>
      </c>
      <c r="AB103" s="6" t="e">
        <f>AVERAGE(#REF!,#REF!,#REF!,#REF!,#REF!,#REF!,#REF!,#REF!,#REF!,#REF!,#REF!,#REF!,#REF!,AA9)</f>
        <v>#REF!</v>
      </c>
      <c r="AC103" s="7"/>
      <c r="AD103" s="7"/>
    </row>
    <row r="104" spans="1:42" s="5" customFormat="1" ht="40.5" customHeight="1" x14ac:dyDescent="0.25">
      <c r="A104" s="380" t="s">
        <v>193</v>
      </c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1"/>
      <c r="U104" s="8"/>
      <c r="V104" s="8"/>
      <c r="W104" s="8"/>
      <c r="X104" s="8"/>
      <c r="Y104" s="8"/>
      <c r="Z104" s="8"/>
      <c r="AA104" s="4"/>
      <c r="AB104" s="4"/>
      <c r="AC104" s="7"/>
      <c r="AD104" s="7"/>
    </row>
    <row r="105" spans="1:42" s="5" customFormat="1" ht="18" customHeight="1" x14ac:dyDescent="0.25">
      <c r="A105" s="10"/>
      <c r="B105" s="10"/>
      <c r="C105" s="10"/>
      <c r="D105" s="10"/>
      <c r="E105" s="10"/>
      <c r="F105" s="21"/>
      <c r="G105" s="21"/>
      <c r="H105" s="21"/>
      <c r="I105" s="21"/>
      <c r="J105" s="21"/>
      <c r="K105" s="10"/>
      <c r="L105" s="10"/>
      <c r="M105" s="27"/>
      <c r="N105" s="27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s="5" customFormat="1" ht="29.25" customHeight="1" x14ac:dyDescent="0.25">
      <c r="A106" s="10"/>
      <c r="B106" s="10"/>
      <c r="C106" s="10"/>
      <c r="D106" s="10"/>
      <c r="E106" s="10"/>
      <c r="F106" s="21"/>
      <c r="G106" s="21"/>
      <c r="H106" s="21"/>
      <c r="I106" s="21"/>
      <c r="J106" s="21"/>
      <c r="K106" s="10"/>
      <c r="M106" s="28"/>
      <c r="N106" s="28"/>
      <c r="O106" s="11"/>
      <c r="P106" s="11"/>
      <c r="Q106" s="11"/>
      <c r="R106" s="35"/>
      <c r="S106" s="36" t="s">
        <v>18</v>
      </c>
      <c r="T106" s="37"/>
      <c r="U106" s="37"/>
      <c r="V106" s="37"/>
      <c r="W106" s="37"/>
      <c r="X106" s="37"/>
      <c r="Y106" s="37"/>
      <c r="Z106" s="37"/>
      <c r="AA106" s="39" t="s">
        <v>19</v>
      </c>
      <c r="AB106" s="40"/>
      <c r="AC106" s="40"/>
      <c r="AD106" s="37"/>
      <c r="AE106" s="37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36" customHeight="1" x14ac:dyDescent="0.35">
      <c r="A107" s="9"/>
      <c r="B107" s="9"/>
      <c r="C107" s="9"/>
      <c r="D107" s="9"/>
      <c r="E107" s="12"/>
      <c r="F107" s="22"/>
      <c r="G107" s="23"/>
      <c r="H107" s="22"/>
      <c r="I107" s="22"/>
      <c r="J107" s="22"/>
      <c r="K107" s="9"/>
      <c r="M107" s="29"/>
      <c r="N107" s="29"/>
      <c r="O107" s="13"/>
      <c r="P107" s="13"/>
      <c r="Q107" s="13"/>
      <c r="R107" s="41"/>
      <c r="S107" s="36" t="s">
        <v>215</v>
      </c>
      <c r="T107" s="36"/>
      <c r="U107" s="42"/>
      <c r="V107" s="38"/>
      <c r="W107" s="38"/>
      <c r="X107" s="38"/>
      <c r="Y107" s="38"/>
      <c r="Z107" s="38"/>
      <c r="AA107" s="39" t="s">
        <v>122</v>
      </c>
      <c r="AB107" s="40"/>
      <c r="AC107" s="40"/>
      <c r="AD107" s="38"/>
      <c r="AE107" s="42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 ht="48" customHeight="1" x14ac:dyDescent="0.35">
      <c r="A108" s="9"/>
      <c r="B108" s="9"/>
      <c r="C108" s="9"/>
      <c r="D108" s="9"/>
      <c r="E108" s="12"/>
      <c r="F108" s="22"/>
      <c r="G108" s="23"/>
      <c r="H108" s="22"/>
      <c r="I108" s="22"/>
      <c r="J108" s="22"/>
      <c r="K108" s="9"/>
      <c r="M108" s="30"/>
      <c r="N108" s="30"/>
      <c r="O108" s="15"/>
      <c r="P108" s="15"/>
      <c r="Q108" s="15"/>
      <c r="R108" s="44"/>
      <c r="S108" s="45" t="s">
        <v>21</v>
      </c>
      <c r="T108" s="45"/>
      <c r="U108" s="42"/>
      <c r="V108" s="38"/>
      <c r="W108" s="38"/>
      <c r="X108" s="38"/>
      <c r="Y108" s="38"/>
      <c r="Z108" s="38"/>
      <c r="AA108" s="46" t="s">
        <v>22</v>
      </c>
      <c r="AB108" s="47"/>
      <c r="AC108" s="47"/>
      <c r="AD108" s="38"/>
      <c r="AE108" s="42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1:42" ht="47.25" customHeight="1" x14ac:dyDescent="0.35">
      <c r="A109" s="9"/>
      <c r="B109" s="9"/>
      <c r="C109" s="9"/>
      <c r="D109" s="9"/>
      <c r="E109" s="12"/>
      <c r="F109" s="22"/>
      <c r="G109" s="23"/>
      <c r="H109" s="22"/>
      <c r="I109" s="22"/>
      <c r="J109" s="22"/>
      <c r="K109" s="9"/>
      <c r="M109" s="30"/>
      <c r="N109" s="30"/>
      <c r="O109" s="15"/>
      <c r="P109" s="15"/>
      <c r="Q109" s="15"/>
      <c r="R109" s="44"/>
      <c r="S109" s="45" t="s">
        <v>20</v>
      </c>
      <c r="T109" s="45"/>
      <c r="U109" s="42"/>
      <c r="V109" s="38"/>
      <c r="W109" s="38"/>
      <c r="X109" s="38"/>
      <c r="Y109" s="38"/>
      <c r="Z109" s="38"/>
      <c r="AA109" s="45" t="s">
        <v>20</v>
      </c>
      <c r="AB109" s="44"/>
      <c r="AC109" s="44"/>
      <c r="AD109" s="38"/>
      <c r="AE109" s="42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 ht="18.75" customHeight="1" x14ac:dyDescent="0.35">
      <c r="A110" s="9"/>
      <c r="B110" s="9"/>
      <c r="C110" s="9"/>
      <c r="D110" s="9"/>
      <c r="E110" s="12"/>
      <c r="F110" s="22"/>
      <c r="G110" s="23"/>
      <c r="H110" s="22"/>
      <c r="I110" s="22"/>
      <c r="J110" s="22"/>
      <c r="K110" s="9"/>
      <c r="L110" s="221"/>
      <c r="M110" s="30"/>
      <c r="N110" s="30"/>
      <c r="O110" s="15"/>
      <c r="P110" s="15"/>
      <c r="Q110" s="15"/>
      <c r="R110" s="44"/>
      <c r="S110" s="45"/>
      <c r="T110" s="45"/>
      <c r="U110" s="42"/>
      <c r="V110" s="38"/>
      <c r="W110" s="38"/>
      <c r="X110" s="38"/>
      <c r="Y110" s="38"/>
      <c r="Z110" s="38"/>
      <c r="AA110" s="45"/>
      <c r="AB110" s="44"/>
      <c r="AC110" s="44"/>
      <c r="AD110" s="38"/>
      <c r="AE110" s="42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</row>
    <row r="111" spans="1:42" ht="18.75" customHeight="1" x14ac:dyDescent="0.35">
      <c r="A111" s="9"/>
      <c r="B111" s="9"/>
      <c r="C111" s="9"/>
      <c r="D111" s="9"/>
      <c r="E111" s="12"/>
      <c r="F111" s="22"/>
      <c r="G111" s="23"/>
      <c r="H111" s="22"/>
      <c r="I111" s="22"/>
      <c r="J111" s="22"/>
      <c r="K111" s="9"/>
      <c r="M111" s="30"/>
      <c r="N111" s="30"/>
      <c r="O111" s="15"/>
      <c r="P111" s="15"/>
      <c r="Q111" s="15"/>
      <c r="R111" s="44"/>
      <c r="S111" s="45"/>
      <c r="T111" s="45"/>
      <c r="U111" s="42"/>
      <c r="V111" s="38"/>
      <c r="W111" s="38"/>
      <c r="X111" s="38"/>
      <c r="Y111" s="38"/>
      <c r="Z111" s="38"/>
      <c r="AA111" s="45"/>
      <c r="AB111" s="44"/>
      <c r="AC111" s="44"/>
      <c r="AD111" s="38"/>
      <c r="AE111" s="42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</row>
    <row r="112" spans="1:42" ht="18.75" customHeight="1" x14ac:dyDescent="0.35">
      <c r="A112" s="9"/>
      <c r="B112" s="9"/>
      <c r="C112" s="9"/>
      <c r="D112" s="9"/>
      <c r="E112" s="12"/>
      <c r="F112" s="22"/>
      <c r="G112" s="23"/>
      <c r="H112" s="22"/>
      <c r="I112" s="22"/>
      <c r="J112" s="22"/>
      <c r="K112" s="9"/>
      <c r="M112" s="30"/>
      <c r="N112" s="30"/>
      <c r="O112" s="15"/>
      <c r="P112" s="15"/>
      <c r="Q112" s="15"/>
      <c r="R112" s="44"/>
      <c r="S112" s="45"/>
      <c r="T112" s="45"/>
      <c r="U112" s="42"/>
      <c r="V112" s="38"/>
      <c r="W112" s="38"/>
      <c r="X112" s="38"/>
      <c r="Y112" s="38"/>
      <c r="Z112" s="38"/>
      <c r="AA112" s="45"/>
      <c r="AB112" s="44"/>
      <c r="AC112" s="44"/>
      <c r="AD112" s="38"/>
      <c r="AE112" s="42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42" ht="18.75" customHeight="1" x14ac:dyDescent="0.35">
      <c r="A113" s="9"/>
      <c r="B113" s="9"/>
      <c r="C113" s="9"/>
      <c r="D113" s="9"/>
      <c r="E113" s="12"/>
      <c r="F113" s="22"/>
      <c r="G113" s="23"/>
      <c r="H113" s="22"/>
      <c r="I113" s="22"/>
      <c r="J113" s="22"/>
      <c r="K113" s="9"/>
      <c r="M113" s="30"/>
      <c r="N113" s="30"/>
      <c r="O113" s="15"/>
      <c r="P113" s="15"/>
      <c r="Q113" s="15"/>
      <c r="R113" s="44"/>
      <c r="S113" s="45"/>
      <c r="T113" s="45"/>
      <c r="U113" s="42"/>
      <c r="V113" s="38"/>
      <c r="W113" s="38"/>
      <c r="X113" s="38"/>
      <c r="Y113" s="38"/>
      <c r="Z113" s="38"/>
      <c r="AA113" s="45"/>
      <c r="AB113" s="44"/>
      <c r="AC113" s="44"/>
      <c r="AD113" s="38"/>
      <c r="AE113" s="42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</row>
    <row r="114" spans="1:42" ht="18.75" customHeight="1" x14ac:dyDescent="0.35">
      <c r="A114" s="9"/>
      <c r="B114" s="9"/>
      <c r="C114" s="9"/>
      <c r="D114" s="9"/>
      <c r="E114" s="12"/>
      <c r="F114" s="22"/>
      <c r="G114" s="23"/>
      <c r="H114" s="22"/>
      <c r="I114" s="22"/>
      <c r="J114" s="22"/>
      <c r="K114" s="9"/>
      <c r="M114" s="30"/>
      <c r="N114" s="30"/>
      <c r="O114" s="15"/>
      <c r="P114" s="15"/>
      <c r="Q114" s="15"/>
      <c r="R114" s="44"/>
      <c r="S114" s="45"/>
      <c r="T114" s="45"/>
      <c r="U114" s="42"/>
      <c r="V114" s="38"/>
      <c r="W114" s="38"/>
      <c r="X114" s="38"/>
      <c r="Y114" s="38"/>
      <c r="Z114" s="38"/>
      <c r="AA114" s="45"/>
      <c r="AB114" s="44"/>
      <c r="AC114" s="44"/>
      <c r="AD114" s="38"/>
      <c r="AE114" s="42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</row>
    <row r="115" spans="1:42" ht="18.75" customHeight="1" x14ac:dyDescent="0.35">
      <c r="A115" s="9"/>
      <c r="B115" s="9"/>
      <c r="C115" s="9"/>
      <c r="D115" s="9"/>
      <c r="E115" s="12"/>
      <c r="F115" s="22"/>
      <c r="G115" s="23"/>
      <c r="H115" s="22"/>
      <c r="I115" s="22"/>
      <c r="J115" s="22"/>
      <c r="K115" s="9"/>
      <c r="M115" s="30"/>
      <c r="N115" s="30"/>
      <c r="O115" s="15"/>
      <c r="P115" s="15"/>
      <c r="Q115" s="15"/>
      <c r="R115" s="44"/>
      <c r="S115" s="45"/>
      <c r="T115" s="45"/>
      <c r="U115" s="42"/>
      <c r="V115" s="38"/>
      <c r="W115" s="38"/>
      <c r="X115" s="38"/>
      <c r="Y115" s="38"/>
      <c r="Z115" s="38"/>
      <c r="AA115" s="45"/>
      <c r="AB115" s="44"/>
      <c r="AC115" s="44"/>
      <c r="AD115" s="38"/>
      <c r="AE115" s="42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</row>
    <row r="116" spans="1:42" ht="18.75" customHeight="1" x14ac:dyDescent="0.35">
      <c r="A116" s="9"/>
      <c r="B116" s="9"/>
      <c r="C116" s="9"/>
      <c r="D116" s="9"/>
      <c r="E116" s="12"/>
      <c r="F116" s="22"/>
      <c r="G116" s="23"/>
      <c r="H116" s="22"/>
      <c r="I116" s="22"/>
      <c r="J116" s="22"/>
      <c r="K116" s="9"/>
      <c r="M116" s="30"/>
      <c r="N116" s="30"/>
      <c r="O116" s="15"/>
      <c r="P116" s="15"/>
      <c r="Q116" s="15"/>
      <c r="R116" s="44"/>
      <c r="S116" s="45"/>
      <c r="T116" s="45"/>
      <c r="U116" s="42"/>
      <c r="V116" s="38"/>
      <c r="W116" s="38"/>
      <c r="X116" s="38"/>
      <c r="Y116" s="38"/>
      <c r="Z116" s="38"/>
      <c r="AA116" s="45"/>
      <c r="AB116" s="44"/>
      <c r="AC116" s="44"/>
      <c r="AD116" s="38"/>
      <c r="AE116" s="42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</row>
    <row r="117" spans="1:42" ht="8.25" customHeight="1" x14ac:dyDescent="0.35">
      <c r="A117" s="9"/>
      <c r="B117" s="9"/>
      <c r="C117" s="9"/>
      <c r="D117" s="9"/>
      <c r="E117" s="12"/>
      <c r="F117" s="22"/>
      <c r="G117" s="23"/>
      <c r="H117" s="22"/>
      <c r="I117" s="22"/>
      <c r="J117" s="22"/>
      <c r="K117" s="9"/>
      <c r="M117" s="30"/>
      <c r="N117" s="30"/>
      <c r="O117" s="15"/>
      <c r="P117" s="15"/>
      <c r="Q117" s="15"/>
      <c r="R117" s="44"/>
      <c r="S117" s="45"/>
      <c r="T117" s="45"/>
      <c r="U117" s="42"/>
      <c r="V117" s="38"/>
      <c r="W117" s="38"/>
      <c r="X117" s="38"/>
      <c r="Y117" s="38"/>
      <c r="Z117" s="38"/>
      <c r="AA117" s="45"/>
      <c r="AB117" s="44"/>
      <c r="AC117" s="44"/>
      <c r="AD117" s="38"/>
      <c r="AE117" s="42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</row>
    <row r="118" spans="1:42" ht="18.75" hidden="1" customHeight="1" x14ac:dyDescent="0.35">
      <c r="A118" s="9"/>
      <c r="B118" s="9"/>
      <c r="C118" s="9"/>
      <c r="D118" s="9"/>
      <c r="E118" s="12"/>
      <c r="F118" s="22"/>
      <c r="G118" s="23"/>
      <c r="H118" s="22"/>
      <c r="I118" s="22"/>
      <c r="J118" s="22"/>
      <c r="K118" s="9"/>
      <c r="M118" s="30"/>
      <c r="N118" s="30"/>
      <c r="O118" s="15"/>
      <c r="P118" s="15"/>
      <c r="Q118" s="15"/>
      <c r="R118" s="44"/>
      <c r="S118" s="45"/>
      <c r="T118" s="45"/>
      <c r="U118" s="42"/>
      <c r="V118" s="38"/>
      <c r="W118" s="38"/>
      <c r="X118" s="38"/>
      <c r="Y118" s="38"/>
      <c r="Z118" s="38"/>
      <c r="AA118" s="45"/>
      <c r="AB118" s="44"/>
      <c r="AC118" s="44"/>
      <c r="AD118" s="38"/>
      <c r="AE118" s="42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</row>
    <row r="119" spans="1:42" ht="27" customHeight="1" x14ac:dyDescent="0.5">
      <c r="A119" s="14"/>
      <c r="B119" s="14"/>
      <c r="C119" s="14"/>
      <c r="D119" s="14"/>
      <c r="E119" s="16"/>
      <c r="F119" s="24"/>
      <c r="G119" s="25"/>
      <c r="H119" s="24"/>
      <c r="I119" s="24"/>
      <c r="J119" s="24"/>
      <c r="K119" s="14"/>
      <c r="M119" s="31"/>
      <c r="N119" s="31"/>
      <c r="O119" s="17"/>
      <c r="P119" s="17"/>
      <c r="Q119" s="17"/>
      <c r="R119" s="48"/>
      <c r="S119" s="49" t="s">
        <v>202</v>
      </c>
      <c r="T119" s="49"/>
      <c r="U119" s="50"/>
      <c r="V119" s="43"/>
      <c r="W119" s="43"/>
      <c r="X119" s="43"/>
      <c r="Y119" s="43"/>
      <c r="Z119" s="43"/>
      <c r="AA119" s="51" t="s">
        <v>203</v>
      </c>
      <c r="AB119" s="52"/>
      <c r="AC119" s="52"/>
      <c r="AD119" s="43"/>
      <c r="AE119" s="50"/>
    </row>
    <row r="120" spans="1:42" ht="30" customHeight="1" x14ac:dyDescent="0.5">
      <c r="A120" s="14"/>
      <c r="B120" s="14"/>
      <c r="C120" s="14"/>
      <c r="D120" s="14"/>
      <c r="E120" s="16"/>
      <c r="F120" s="24"/>
      <c r="G120" s="25"/>
      <c r="H120" s="24"/>
      <c r="I120" s="24"/>
      <c r="J120" s="24"/>
      <c r="K120" s="14"/>
      <c r="M120" s="32"/>
      <c r="N120" s="32"/>
      <c r="O120" s="18"/>
      <c r="P120" s="18"/>
      <c r="Q120" s="18"/>
      <c r="R120" s="53"/>
      <c r="S120" s="54" t="s">
        <v>200</v>
      </c>
      <c r="T120" s="54"/>
      <c r="U120" s="50"/>
      <c r="V120" s="43"/>
      <c r="W120" s="43"/>
      <c r="X120" s="43"/>
      <c r="Y120" s="43"/>
      <c r="Z120" s="43"/>
      <c r="AA120" s="51" t="s">
        <v>204</v>
      </c>
      <c r="AB120" s="52"/>
      <c r="AC120" s="52"/>
      <c r="AD120" s="43"/>
      <c r="AE120" s="50"/>
    </row>
    <row r="121" spans="1:42" x14ac:dyDescent="0.35">
      <c r="A121" s="14"/>
      <c r="B121" s="14"/>
      <c r="C121" s="14"/>
      <c r="D121" s="14"/>
      <c r="E121" s="16"/>
      <c r="F121" s="24"/>
      <c r="G121" s="25"/>
      <c r="H121" s="24"/>
      <c r="I121" s="24"/>
      <c r="J121" s="24"/>
      <c r="K121" s="14"/>
      <c r="L121" s="14"/>
      <c r="M121" s="33"/>
      <c r="N121" s="33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D121" s="14"/>
      <c r="AE121" s="14"/>
    </row>
    <row r="122" spans="1:42" x14ac:dyDescent="0.35">
      <c r="A122" s="14"/>
      <c r="B122" s="14"/>
      <c r="C122" s="14"/>
      <c r="D122" s="14"/>
      <c r="E122" s="16"/>
      <c r="F122" s="24"/>
      <c r="G122" s="25"/>
      <c r="H122" s="24"/>
      <c r="I122" s="24"/>
      <c r="J122" s="24"/>
      <c r="K122" s="14"/>
      <c r="L122" s="14"/>
      <c r="M122" s="33"/>
      <c r="N122" s="33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42" x14ac:dyDescent="0.35">
      <c r="A123" s="14"/>
      <c r="B123" s="14"/>
      <c r="C123" s="14"/>
      <c r="D123" s="14"/>
      <c r="E123" s="16"/>
      <c r="F123" s="24"/>
      <c r="G123" s="25"/>
      <c r="H123" s="24"/>
      <c r="I123" s="24"/>
      <c r="J123" s="24"/>
      <c r="K123" s="14"/>
      <c r="L123" s="14"/>
      <c r="M123" s="33"/>
      <c r="N123" s="33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42" x14ac:dyDescent="0.35">
      <c r="A124" s="14"/>
      <c r="B124" s="14"/>
      <c r="C124" s="14"/>
      <c r="D124" s="14"/>
      <c r="E124" s="16"/>
      <c r="F124" s="24"/>
      <c r="G124" s="25"/>
      <c r="H124" s="24"/>
      <c r="I124" s="24"/>
      <c r="J124" s="24"/>
      <c r="K124" s="14"/>
      <c r="L124" s="14"/>
      <c r="M124" s="33"/>
      <c r="N124" s="33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42" x14ac:dyDescent="0.35">
      <c r="A125" s="14"/>
      <c r="B125" s="14"/>
      <c r="C125" s="14"/>
      <c r="D125" s="14"/>
      <c r="E125" s="16"/>
      <c r="F125" s="24"/>
      <c r="G125" s="25"/>
      <c r="H125" s="24"/>
      <c r="I125" s="24"/>
      <c r="J125" s="24"/>
      <c r="K125" s="14"/>
      <c r="L125" s="14"/>
      <c r="M125" s="33"/>
      <c r="N125" s="33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42" x14ac:dyDescent="0.35">
      <c r="A126" s="14"/>
      <c r="B126" s="14"/>
      <c r="C126" s="14"/>
      <c r="D126" s="14"/>
      <c r="E126" s="16"/>
      <c r="F126" s="24"/>
      <c r="G126" s="25"/>
      <c r="H126" s="24"/>
      <c r="I126" s="24"/>
      <c r="J126" s="24"/>
      <c r="K126" s="14"/>
      <c r="L126" s="14"/>
      <c r="M126" s="33"/>
      <c r="N126" s="33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42" x14ac:dyDescent="0.35">
      <c r="A127" s="14"/>
      <c r="B127" s="14"/>
      <c r="C127" s="14"/>
      <c r="D127" s="14"/>
      <c r="E127" s="16"/>
      <c r="F127" s="24"/>
      <c r="G127" s="25"/>
      <c r="H127" s="24"/>
      <c r="I127" s="24"/>
      <c r="J127" s="24"/>
      <c r="K127" s="14"/>
      <c r="L127" s="14"/>
      <c r="M127" s="33"/>
      <c r="N127" s="33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42" x14ac:dyDescent="0.35">
      <c r="A128" s="14"/>
      <c r="B128" s="14"/>
      <c r="C128" s="14"/>
      <c r="D128" s="14"/>
      <c r="E128" s="16"/>
      <c r="F128" s="24"/>
      <c r="G128" s="25"/>
      <c r="H128" s="24"/>
      <c r="I128" s="24"/>
      <c r="J128" s="24"/>
      <c r="K128" s="14"/>
      <c r="L128" s="14"/>
      <c r="M128" s="33"/>
      <c r="N128" s="3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3:14" x14ac:dyDescent="0.35">
      <c r="M129" s="34"/>
      <c r="N129" s="34"/>
    </row>
    <row r="130" spans="13:14" x14ac:dyDescent="0.35">
      <c r="M130" s="34"/>
      <c r="N130" s="34"/>
    </row>
    <row r="131" spans="13:14" x14ac:dyDescent="0.35">
      <c r="M131" s="34"/>
      <c r="N131" s="34"/>
    </row>
    <row r="132" spans="13:14" x14ac:dyDescent="0.35">
      <c r="M132" s="34"/>
      <c r="N132" s="34"/>
    </row>
    <row r="133" spans="13:14" x14ac:dyDescent="0.35">
      <c r="M133" s="34"/>
      <c r="N133" s="34"/>
    </row>
    <row r="134" spans="13:14" x14ac:dyDescent="0.35">
      <c r="M134" s="34"/>
      <c r="N134" s="34"/>
    </row>
  </sheetData>
  <mergeCells count="173">
    <mergeCell ref="T32:T33"/>
    <mergeCell ref="A55:T55"/>
    <mergeCell ref="A68:T68"/>
    <mergeCell ref="A80:T80"/>
    <mergeCell ref="V48:V50"/>
    <mergeCell ref="T48:T50"/>
    <mergeCell ref="R48:R50"/>
    <mergeCell ref="P48:P50"/>
    <mergeCell ref="N48:N50"/>
    <mergeCell ref="B76:B77"/>
    <mergeCell ref="A37:A38"/>
    <mergeCell ref="A32:A33"/>
    <mergeCell ref="A48:A50"/>
    <mergeCell ref="H48:H50"/>
    <mergeCell ref="F48:F50"/>
    <mergeCell ref="R32:R33"/>
    <mergeCell ref="P32:P33"/>
    <mergeCell ref="N32:N33"/>
    <mergeCell ref="R37:R38"/>
    <mergeCell ref="P37:P38"/>
    <mergeCell ref="N37:N38"/>
    <mergeCell ref="A47:AB47"/>
    <mergeCell ref="A71:AB71"/>
    <mergeCell ref="A46:D46"/>
    <mergeCell ref="J56:J60"/>
    <mergeCell ref="H56:H60"/>
    <mergeCell ref="F56:F60"/>
    <mergeCell ref="A56:A60"/>
    <mergeCell ref="B61:B62"/>
    <mergeCell ref="F81:F86"/>
    <mergeCell ref="H72:H75"/>
    <mergeCell ref="F72:F75"/>
    <mergeCell ref="B51:B52"/>
    <mergeCell ref="A1:AD1"/>
    <mergeCell ref="A2:AD2"/>
    <mergeCell ref="Q5:R5"/>
    <mergeCell ref="O5:P5"/>
    <mergeCell ref="M5:N5"/>
    <mergeCell ref="K5:L5"/>
    <mergeCell ref="AD4:AD5"/>
    <mergeCell ref="AC4:AC5"/>
    <mergeCell ref="AA4:AB5"/>
    <mergeCell ref="W4:X5"/>
    <mergeCell ref="U4:V5"/>
    <mergeCell ref="S4:T5"/>
    <mergeCell ref="K4:R4"/>
    <mergeCell ref="B4:B5"/>
    <mergeCell ref="A4:A5"/>
    <mergeCell ref="I4:J5"/>
    <mergeCell ref="G4:H5"/>
    <mergeCell ref="E4:F5"/>
    <mergeCell ref="C4:C5"/>
    <mergeCell ref="Y4:Z5"/>
    <mergeCell ref="A104:T104"/>
    <mergeCell ref="A103:T103"/>
    <mergeCell ref="A100:R100"/>
    <mergeCell ref="A9:A12"/>
    <mergeCell ref="A13:A20"/>
    <mergeCell ref="A22:A26"/>
    <mergeCell ref="B22:B26"/>
    <mergeCell ref="B32:B33"/>
    <mergeCell ref="B37:B38"/>
    <mergeCell ref="B13:B20"/>
    <mergeCell ref="B9:B12"/>
    <mergeCell ref="B48:B50"/>
    <mergeCell ref="A61:A62"/>
    <mergeCell ref="A72:A75"/>
    <mergeCell ref="A76:A77"/>
    <mergeCell ref="A81:A86"/>
    <mergeCell ref="L32:L33"/>
    <mergeCell ref="J32:J33"/>
    <mergeCell ref="H32:H33"/>
    <mergeCell ref="F32:F33"/>
    <mergeCell ref="J37:J38"/>
    <mergeCell ref="H37:H38"/>
    <mergeCell ref="F37:F38"/>
    <mergeCell ref="L37:L38"/>
    <mergeCell ref="AA6:AB6"/>
    <mergeCell ref="Z9:Z12"/>
    <mergeCell ref="X9:X12"/>
    <mergeCell ref="V9:V12"/>
    <mergeCell ref="T9:T12"/>
    <mergeCell ref="R9:R12"/>
    <mergeCell ref="L56:L60"/>
    <mergeCell ref="J72:J75"/>
    <mergeCell ref="V22:V26"/>
    <mergeCell ref="V32:V33"/>
    <mergeCell ref="X32:X33"/>
    <mergeCell ref="V37:V38"/>
    <mergeCell ref="X37:X38"/>
    <mergeCell ref="Z37:Z38"/>
    <mergeCell ref="Z32:Z33"/>
    <mergeCell ref="Z72:Z75"/>
    <mergeCell ref="X72:X75"/>
    <mergeCell ref="V72:V75"/>
    <mergeCell ref="P72:P75"/>
    <mergeCell ref="N72:N75"/>
    <mergeCell ref="A44:T44"/>
    <mergeCell ref="F9:F12"/>
    <mergeCell ref="H9:H12"/>
    <mergeCell ref="B72:B75"/>
    <mergeCell ref="P22:P26"/>
    <mergeCell ref="N22:N26"/>
    <mergeCell ref="Z22:Z26"/>
    <mergeCell ref="X22:X26"/>
    <mergeCell ref="A51:A52"/>
    <mergeCell ref="A91:A92"/>
    <mergeCell ref="P9:P12"/>
    <mergeCell ref="N9:N12"/>
    <mergeCell ref="L9:L12"/>
    <mergeCell ref="J9:J12"/>
    <mergeCell ref="A31:T31"/>
    <mergeCell ref="A36:T36"/>
    <mergeCell ref="L72:L75"/>
    <mergeCell ref="T22:T26"/>
    <mergeCell ref="T37:T38"/>
    <mergeCell ref="T72:T75"/>
    <mergeCell ref="R72:R75"/>
    <mergeCell ref="B91:B92"/>
    <mergeCell ref="B81:B86"/>
    <mergeCell ref="B56:B60"/>
    <mergeCell ref="L81:L86"/>
    <mergeCell ref="L48:L50"/>
    <mergeCell ref="J48:J50"/>
    <mergeCell ref="A45:D45"/>
    <mergeCell ref="V56:V60"/>
    <mergeCell ref="T56:T60"/>
    <mergeCell ref="R56:R60"/>
    <mergeCell ref="P56:P60"/>
    <mergeCell ref="N56:N60"/>
    <mergeCell ref="A93:A94"/>
    <mergeCell ref="A8:XFD8"/>
    <mergeCell ref="F14:F20"/>
    <mergeCell ref="H14:H20"/>
    <mergeCell ref="J14:J20"/>
    <mergeCell ref="L14:L20"/>
    <mergeCell ref="R14:R20"/>
    <mergeCell ref="P14:P20"/>
    <mergeCell ref="N14:N20"/>
    <mergeCell ref="T14:T20"/>
    <mergeCell ref="Z14:Z20"/>
    <mergeCell ref="X14:X20"/>
    <mergeCell ref="V14:V20"/>
    <mergeCell ref="AA9:AB12"/>
    <mergeCell ref="F22:F26"/>
    <mergeCell ref="H22:H26"/>
    <mergeCell ref="J22:J26"/>
    <mergeCell ref="L22:L26"/>
    <mergeCell ref="R22:R26"/>
    <mergeCell ref="A98:D98"/>
    <mergeCell ref="A99:D99"/>
    <mergeCell ref="A101:D101"/>
    <mergeCell ref="A102:R102"/>
    <mergeCell ref="AA48:AB50"/>
    <mergeCell ref="AA56:AB60"/>
    <mergeCell ref="AA72:AB75"/>
    <mergeCell ref="AA81:AB86"/>
    <mergeCell ref="A97:T97"/>
    <mergeCell ref="A69:D69"/>
    <mergeCell ref="A70:D70"/>
    <mergeCell ref="R81:R86"/>
    <mergeCell ref="P81:P86"/>
    <mergeCell ref="N81:N86"/>
    <mergeCell ref="Z81:Z86"/>
    <mergeCell ref="X81:X86"/>
    <mergeCell ref="V81:V86"/>
    <mergeCell ref="T81:T86"/>
    <mergeCell ref="J81:J86"/>
    <mergeCell ref="H81:H86"/>
    <mergeCell ref="X48:X50"/>
    <mergeCell ref="Z48:Z50"/>
    <mergeCell ref="Z56:Z60"/>
    <mergeCell ref="X56:X60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20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11"/>
  <sheetViews>
    <sheetView tabSelected="1" view="pageBreakPreview" zoomScale="60" zoomScaleNormal="60" workbookViewId="0">
      <pane ySplit="5" topLeftCell="A6" activePane="bottomLeft" state="frozen"/>
      <selection pane="bottomLeft" activeCell="J6" sqref="J6:J9"/>
    </sheetView>
  </sheetViews>
  <sheetFormatPr defaultColWidth="2.42578125" defaultRowHeight="21" x14ac:dyDescent="0.35"/>
  <cols>
    <col min="1" max="1" width="29.5703125" style="1" customWidth="1"/>
    <col min="2" max="2" width="28.140625" style="1" customWidth="1"/>
    <col min="3" max="3" width="48.5703125" style="1" customWidth="1"/>
    <col min="4" max="4" width="14.42578125" style="1" customWidth="1"/>
    <col min="5" max="5" width="13.85546875" style="3" customWidth="1"/>
    <col min="6" max="6" width="27.28515625" style="19" customWidth="1"/>
    <col min="7" max="7" width="9.42578125" style="20" customWidth="1"/>
    <col min="8" max="8" width="27.28515625" style="19" customWidth="1"/>
    <col min="9" max="9" width="11.140625" style="19" customWidth="1"/>
    <col min="10" max="10" width="26.85546875" style="19" customWidth="1"/>
    <col min="11" max="11" width="11.140625" style="1" hidden="1" customWidth="1"/>
    <col min="12" max="12" width="29.7109375" style="1" hidden="1" customWidth="1"/>
    <col min="13" max="13" width="11.5703125" style="26" hidden="1" customWidth="1"/>
    <col min="14" max="14" width="27.5703125" style="26" hidden="1" customWidth="1"/>
    <col min="15" max="15" width="10.85546875" style="1" hidden="1" customWidth="1"/>
    <col min="16" max="16" width="23.5703125" style="1" hidden="1" customWidth="1"/>
    <col min="17" max="17" width="13.85546875" style="1" hidden="1" customWidth="1"/>
    <col min="18" max="18" width="26.5703125" style="1" hidden="1" customWidth="1"/>
    <col min="19" max="19" width="20.85546875" style="1" customWidth="1"/>
    <col min="20" max="20" width="23" style="1" customWidth="1"/>
    <col min="21" max="21" width="22" style="1" customWidth="1"/>
    <col min="22" max="22" width="15.5703125" style="1" customWidth="1"/>
    <col min="23" max="23" width="11.28515625" style="1" customWidth="1"/>
    <col min="24" max="24" width="19.5703125" style="1" customWidth="1"/>
    <col min="25" max="26" width="17" style="1" hidden="1" customWidth="1"/>
    <col min="27" max="27" width="2.42578125" style="1"/>
    <col min="28" max="28" width="2.140625" style="1" customWidth="1"/>
    <col min="29" max="29" width="3.7109375" style="1" hidden="1" customWidth="1"/>
    <col min="30" max="35" width="0" style="1" hidden="1" customWidth="1"/>
    <col min="36" max="16384" width="2.42578125" style="1"/>
  </cols>
  <sheetData>
    <row r="1" spans="1:27" ht="28.5" customHeight="1" x14ac:dyDescent="0.35">
      <c r="A1" s="428" t="s">
        <v>223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</row>
    <row r="2" spans="1:27" ht="26.25" customHeight="1" x14ac:dyDescent="0.3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</row>
    <row r="3" spans="1:27" x14ac:dyDescent="0.3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</row>
    <row r="4" spans="1:27" s="56" customFormat="1" ht="79.5" customHeight="1" x14ac:dyDescent="0.25">
      <c r="A4" s="406" t="s">
        <v>0</v>
      </c>
      <c r="B4" s="406" t="s">
        <v>1</v>
      </c>
      <c r="C4" s="426" t="s">
        <v>2</v>
      </c>
      <c r="D4" s="427"/>
      <c r="E4" s="406" t="s">
        <v>216</v>
      </c>
      <c r="F4" s="406"/>
      <c r="G4" s="406" t="s">
        <v>217</v>
      </c>
      <c r="H4" s="406"/>
      <c r="I4" s="406" t="s">
        <v>218</v>
      </c>
      <c r="J4" s="406"/>
      <c r="K4" s="406" t="s">
        <v>3</v>
      </c>
      <c r="L4" s="406"/>
      <c r="M4" s="406"/>
      <c r="N4" s="406"/>
      <c r="O4" s="406"/>
      <c r="P4" s="406"/>
      <c r="Q4" s="406"/>
      <c r="R4" s="406"/>
      <c r="S4" s="426" t="s">
        <v>219</v>
      </c>
      <c r="T4" s="427"/>
      <c r="U4" s="426" t="s">
        <v>222</v>
      </c>
      <c r="V4" s="427"/>
      <c r="W4" s="406" t="s">
        <v>103</v>
      </c>
      <c r="X4" s="406"/>
      <c r="Y4" s="404" t="s">
        <v>4</v>
      </c>
      <c r="Z4" s="404" t="s">
        <v>5</v>
      </c>
    </row>
    <row r="5" spans="1:27" s="57" customFormat="1" ht="123.75" customHeight="1" x14ac:dyDescent="0.25">
      <c r="A5" s="406"/>
      <c r="B5" s="406"/>
      <c r="C5" s="266" t="s">
        <v>2</v>
      </c>
      <c r="D5" s="267" t="s">
        <v>123</v>
      </c>
      <c r="E5" s="406"/>
      <c r="F5" s="406"/>
      <c r="G5" s="406"/>
      <c r="H5" s="406"/>
      <c r="I5" s="406"/>
      <c r="J5" s="406"/>
      <c r="K5" s="370" t="s">
        <v>6</v>
      </c>
      <c r="L5" s="370"/>
      <c r="M5" s="370" t="s">
        <v>7</v>
      </c>
      <c r="N5" s="370"/>
      <c r="O5" s="370" t="s">
        <v>8</v>
      </c>
      <c r="P5" s="370"/>
      <c r="Q5" s="370" t="s">
        <v>9</v>
      </c>
      <c r="R5" s="370"/>
      <c r="S5" s="266" t="s">
        <v>220</v>
      </c>
      <c r="T5" s="266" t="s">
        <v>221</v>
      </c>
      <c r="U5" s="266" t="s">
        <v>220</v>
      </c>
      <c r="V5" s="266" t="s">
        <v>221</v>
      </c>
      <c r="W5" s="406"/>
      <c r="X5" s="406"/>
      <c r="Y5" s="405"/>
      <c r="Z5" s="405"/>
    </row>
    <row r="6" spans="1:27" s="64" customFormat="1" ht="105" customHeight="1" x14ac:dyDescent="0.25">
      <c r="A6" s="385" t="s">
        <v>132</v>
      </c>
      <c r="B6" s="392" t="s">
        <v>23</v>
      </c>
      <c r="C6" s="129" t="s">
        <v>178</v>
      </c>
      <c r="D6" s="130" t="s">
        <v>124</v>
      </c>
      <c r="E6" s="130">
        <v>95</v>
      </c>
      <c r="F6" s="354">
        <f>SUM(F11:F27)</f>
        <v>10033000000</v>
      </c>
      <c r="G6" s="136">
        <v>70</v>
      </c>
      <c r="H6" s="354">
        <f>SUM(H11+H12+H13+H14+H15+H16+H17+H18+H19+H20+H21+H22+H23+H24+H25+H26+H27)</f>
        <v>1361231792</v>
      </c>
      <c r="I6" s="136">
        <v>70</v>
      </c>
      <c r="J6" s="354">
        <f>J11+J12+J13+J14+J15+J16+J17+J18+J19+J20+J21+J22+J23+J24+J25+J26+J27</f>
        <v>1813000000</v>
      </c>
      <c r="K6" s="136">
        <v>70</v>
      </c>
      <c r="L6" s="351">
        <f>SUM(L11:L27)</f>
        <v>607039492</v>
      </c>
      <c r="M6" s="136">
        <v>70</v>
      </c>
      <c r="N6" s="351">
        <f>SUM(N11:N27)</f>
        <v>351754089</v>
      </c>
      <c r="O6" s="127"/>
      <c r="P6" s="351">
        <f>SUM(P11:P27)</f>
        <v>0</v>
      </c>
      <c r="Q6" s="128"/>
      <c r="R6" s="351">
        <f>SUM(R11:R27)</f>
        <v>0</v>
      </c>
      <c r="S6" s="136">
        <v>70</v>
      </c>
      <c r="T6" s="258">
        <v>100</v>
      </c>
      <c r="U6" s="159">
        <v>70</v>
      </c>
      <c r="V6" s="258">
        <v>70</v>
      </c>
      <c r="W6" s="342" t="s">
        <v>182</v>
      </c>
      <c r="X6" s="343"/>
      <c r="Y6" s="62"/>
      <c r="Z6" s="62"/>
      <c r="AA6" s="63"/>
    </row>
    <row r="7" spans="1:27" s="64" customFormat="1" ht="40.5" x14ac:dyDescent="0.25">
      <c r="A7" s="386"/>
      <c r="B7" s="393"/>
      <c r="C7" s="129" t="s">
        <v>179</v>
      </c>
      <c r="D7" s="130" t="s">
        <v>124</v>
      </c>
      <c r="E7" s="130">
        <v>95</v>
      </c>
      <c r="F7" s="355"/>
      <c r="G7" s="136">
        <v>80</v>
      </c>
      <c r="H7" s="355"/>
      <c r="I7" s="136">
        <v>80</v>
      </c>
      <c r="J7" s="355"/>
      <c r="K7" s="136">
        <v>80</v>
      </c>
      <c r="L7" s="352"/>
      <c r="M7" s="136">
        <v>80</v>
      </c>
      <c r="N7" s="352"/>
      <c r="O7" s="127"/>
      <c r="P7" s="352"/>
      <c r="Q7" s="128"/>
      <c r="R7" s="352"/>
      <c r="S7" s="136">
        <v>80</v>
      </c>
      <c r="T7" s="259">
        <v>100</v>
      </c>
      <c r="U7" s="159">
        <v>80</v>
      </c>
      <c r="V7" s="259">
        <v>80</v>
      </c>
      <c r="W7" s="344"/>
      <c r="X7" s="345"/>
      <c r="Y7" s="62"/>
      <c r="Z7" s="62"/>
      <c r="AA7" s="63"/>
    </row>
    <row r="8" spans="1:27" s="64" customFormat="1" ht="37.5" customHeight="1" x14ac:dyDescent="0.25">
      <c r="A8" s="386"/>
      <c r="B8" s="393"/>
      <c r="C8" s="129" t="s">
        <v>180</v>
      </c>
      <c r="D8" s="130" t="s">
        <v>124</v>
      </c>
      <c r="E8" s="130">
        <v>100</v>
      </c>
      <c r="F8" s="355"/>
      <c r="G8" s="136">
        <v>100</v>
      </c>
      <c r="H8" s="355"/>
      <c r="I8" s="136">
        <v>100</v>
      </c>
      <c r="J8" s="355"/>
      <c r="K8" s="136">
        <v>100</v>
      </c>
      <c r="L8" s="352"/>
      <c r="M8" s="136">
        <v>100</v>
      </c>
      <c r="N8" s="352"/>
      <c r="O8" s="127"/>
      <c r="P8" s="352"/>
      <c r="Q8" s="128"/>
      <c r="R8" s="352"/>
      <c r="S8" s="136">
        <v>100</v>
      </c>
      <c r="T8" s="259">
        <v>100</v>
      </c>
      <c r="U8" s="159">
        <v>100</v>
      </c>
      <c r="V8" s="259">
        <v>100</v>
      </c>
      <c r="W8" s="344"/>
      <c r="X8" s="345"/>
      <c r="Y8" s="62"/>
      <c r="Z8" s="62"/>
      <c r="AA8" s="63"/>
    </row>
    <row r="9" spans="1:27" s="64" customFormat="1" ht="82.5" customHeight="1" x14ac:dyDescent="0.25">
      <c r="A9" s="387"/>
      <c r="B9" s="394"/>
      <c r="C9" s="129" t="s">
        <v>181</v>
      </c>
      <c r="D9" s="130" t="s">
        <v>124</v>
      </c>
      <c r="E9" s="130">
        <v>100</v>
      </c>
      <c r="F9" s="356"/>
      <c r="G9" s="136">
        <v>100</v>
      </c>
      <c r="H9" s="356"/>
      <c r="I9" s="136">
        <v>100</v>
      </c>
      <c r="J9" s="356"/>
      <c r="K9" s="136">
        <f>K25/I25*100</f>
        <v>16.666666666666664</v>
      </c>
      <c r="L9" s="353"/>
      <c r="M9" s="136">
        <v>0</v>
      </c>
      <c r="N9" s="353"/>
      <c r="O9" s="127"/>
      <c r="P9" s="353"/>
      <c r="Q9" s="128"/>
      <c r="R9" s="353"/>
      <c r="S9" s="136">
        <v>17</v>
      </c>
      <c r="T9" s="260">
        <v>16.666666666666664</v>
      </c>
      <c r="U9" s="137">
        <v>17</v>
      </c>
      <c r="V9" s="260">
        <v>17</v>
      </c>
      <c r="W9" s="346"/>
      <c r="X9" s="347"/>
      <c r="Y9" s="62"/>
      <c r="Z9" s="62"/>
      <c r="AA9" s="63"/>
    </row>
    <row r="10" spans="1:27" s="77" customFormat="1" ht="27.75" hidden="1" customHeight="1" x14ac:dyDescent="0.25">
      <c r="A10" s="388" t="s">
        <v>133</v>
      </c>
      <c r="B10" s="359" t="s">
        <v>24</v>
      </c>
      <c r="C10" s="65" t="s">
        <v>25</v>
      </c>
      <c r="D10" s="61" t="s">
        <v>124</v>
      </c>
      <c r="E10" s="66">
        <f>917001834</f>
        <v>917001834</v>
      </c>
      <c r="F10" s="67">
        <f>E10*8000</f>
        <v>7336014672000</v>
      </c>
      <c r="G10" s="66">
        <v>950</v>
      </c>
      <c r="H10" s="68">
        <v>4500000</v>
      </c>
      <c r="I10" s="66">
        <v>0</v>
      </c>
      <c r="J10" s="68"/>
      <c r="K10" s="69"/>
      <c r="L10" s="70"/>
      <c r="M10" s="71"/>
      <c r="N10" s="70"/>
      <c r="O10" s="71"/>
      <c r="P10" s="70"/>
      <c r="Q10" s="69"/>
      <c r="R10" s="70"/>
      <c r="S10" s="69"/>
      <c r="T10" s="72" t="e">
        <v>#DIV/0!</v>
      </c>
      <c r="U10" s="73"/>
      <c r="V10" s="74">
        <v>0</v>
      </c>
      <c r="W10" s="73"/>
      <c r="X10" s="74"/>
      <c r="Y10" s="75"/>
      <c r="Z10" s="75"/>
      <c r="AA10" s="76"/>
    </row>
    <row r="11" spans="1:27" s="77" customFormat="1" ht="40.5" x14ac:dyDescent="0.25">
      <c r="A11" s="389"/>
      <c r="B11" s="360"/>
      <c r="C11" s="65" t="s">
        <v>26</v>
      </c>
      <c r="D11" s="65" t="s">
        <v>125</v>
      </c>
      <c r="E11" s="66">
        <v>60</v>
      </c>
      <c r="F11" s="321">
        <f>493000000+(550000000*4)</f>
        <v>2693000000</v>
      </c>
      <c r="G11" s="66">
        <v>12</v>
      </c>
      <c r="H11" s="324">
        <v>411886470</v>
      </c>
      <c r="I11" s="66">
        <v>12</v>
      </c>
      <c r="J11" s="327">
        <v>493000000</v>
      </c>
      <c r="K11" s="69">
        <v>3</v>
      </c>
      <c r="L11" s="324">
        <v>94237992</v>
      </c>
      <c r="M11" s="71"/>
      <c r="N11" s="327">
        <f>235814901-L11</f>
        <v>141576909</v>
      </c>
      <c r="O11" s="71"/>
      <c r="P11" s="330"/>
      <c r="Q11" s="69"/>
      <c r="R11" s="330"/>
      <c r="S11" s="69">
        <v>6</v>
      </c>
      <c r="T11" s="252">
        <v>50</v>
      </c>
      <c r="U11" s="131">
        <v>6</v>
      </c>
      <c r="V11" s="255">
        <v>6</v>
      </c>
      <c r="W11" s="73"/>
      <c r="X11" s="74"/>
      <c r="Y11" s="75"/>
      <c r="Z11" s="75"/>
      <c r="AA11" s="76"/>
    </row>
    <row r="12" spans="1:27" s="77" customFormat="1" ht="20.25" x14ac:dyDescent="0.25">
      <c r="A12" s="389"/>
      <c r="B12" s="360"/>
      <c r="C12" s="65" t="s">
        <v>27</v>
      </c>
      <c r="D12" s="65" t="s">
        <v>125</v>
      </c>
      <c r="E12" s="66">
        <v>60</v>
      </c>
      <c r="F12" s="322"/>
      <c r="G12" s="66">
        <v>12</v>
      </c>
      <c r="H12" s="325"/>
      <c r="I12" s="66">
        <v>12</v>
      </c>
      <c r="J12" s="328"/>
      <c r="K12" s="69">
        <v>3</v>
      </c>
      <c r="L12" s="325"/>
      <c r="M12" s="71"/>
      <c r="N12" s="328"/>
      <c r="O12" s="71"/>
      <c r="P12" s="331"/>
      <c r="Q12" s="69"/>
      <c r="R12" s="331"/>
      <c r="S12" s="69">
        <v>6</v>
      </c>
      <c r="T12" s="253">
        <v>50</v>
      </c>
      <c r="U12" s="131">
        <v>6</v>
      </c>
      <c r="V12" s="256">
        <v>6</v>
      </c>
      <c r="W12" s="73"/>
      <c r="X12" s="74"/>
      <c r="Y12" s="75"/>
      <c r="Z12" s="75"/>
      <c r="AA12" s="76"/>
    </row>
    <row r="13" spans="1:27" s="77" customFormat="1" ht="20.25" x14ac:dyDescent="0.25">
      <c r="A13" s="389"/>
      <c r="B13" s="360"/>
      <c r="C13" s="65" t="s">
        <v>28</v>
      </c>
      <c r="D13" s="65" t="s">
        <v>125</v>
      </c>
      <c r="E13" s="66">
        <v>60</v>
      </c>
      <c r="F13" s="322"/>
      <c r="G13" s="66">
        <v>12</v>
      </c>
      <c r="H13" s="325"/>
      <c r="I13" s="66">
        <v>12</v>
      </c>
      <c r="J13" s="328"/>
      <c r="K13" s="69">
        <v>3</v>
      </c>
      <c r="L13" s="325"/>
      <c r="M13" s="71"/>
      <c r="N13" s="328"/>
      <c r="O13" s="71"/>
      <c r="P13" s="331"/>
      <c r="Q13" s="69"/>
      <c r="R13" s="331"/>
      <c r="S13" s="69">
        <v>6</v>
      </c>
      <c r="T13" s="253">
        <v>50</v>
      </c>
      <c r="U13" s="131">
        <v>6</v>
      </c>
      <c r="V13" s="256">
        <v>6</v>
      </c>
      <c r="W13" s="73"/>
      <c r="X13" s="74"/>
      <c r="Y13" s="75"/>
      <c r="Z13" s="75"/>
      <c r="AA13" s="76"/>
    </row>
    <row r="14" spans="1:27" s="77" customFormat="1" ht="40.5" x14ac:dyDescent="0.25">
      <c r="A14" s="389"/>
      <c r="B14" s="360"/>
      <c r="C14" s="65" t="s">
        <v>29</v>
      </c>
      <c r="D14" s="65" t="s">
        <v>125</v>
      </c>
      <c r="E14" s="66">
        <v>60</v>
      </c>
      <c r="F14" s="322"/>
      <c r="G14" s="66">
        <v>12</v>
      </c>
      <c r="H14" s="325"/>
      <c r="I14" s="66">
        <v>12</v>
      </c>
      <c r="J14" s="328"/>
      <c r="K14" s="69">
        <v>3</v>
      </c>
      <c r="L14" s="325"/>
      <c r="M14" s="71"/>
      <c r="N14" s="328"/>
      <c r="O14" s="71"/>
      <c r="P14" s="331"/>
      <c r="Q14" s="69"/>
      <c r="R14" s="331"/>
      <c r="S14" s="69">
        <v>6</v>
      </c>
      <c r="T14" s="253">
        <v>50</v>
      </c>
      <c r="U14" s="131">
        <v>6</v>
      </c>
      <c r="V14" s="256">
        <v>6</v>
      </c>
      <c r="W14" s="73"/>
      <c r="X14" s="74"/>
      <c r="Y14" s="75"/>
      <c r="Z14" s="75"/>
      <c r="AA14" s="76"/>
    </row>
    <row r="15" spans="1:27" s="77" customFormat="1" ht="40.5" x14ac:dyDescent="0.25">
      <c r="A15" s="389"/>
      <c r="B15" s="360"/>
      <c r="C15" s="65" t="s">
        <v>30</v>
      </c>
      <c r="D15" s="65" t="s">
        <v>125</v>
      </c>
      <c r="E15" s="66">
        <v>60</v>
      </c>
      <c r="F15" s="322"/>
      <c r="G15" s="66">
        <v>12</v>
      </c>
      <c r="H15" s="325"/>
      <c r="I15" s="66">
        <v>12</v>
      </c>
      <c r="J15" s="328"/>
      <c r="K15" s="69">
        <v>3</v>
      </c>
      <c r="L15" s="325"/>
      <c r="M15" s="71"/>
      <c r="N15" s="328"/>
      <c r="O15" s="71"/>
      <c r="P15" s="331"/>
      <c r="Q15" s="69"/>
      <c r="R15" s="331"/>
      <c r="S15" s="69">
        <v>6</v>
      </c>
      <c r="T15" s="253">
        <v>50</v>
      </c>
      <c r="U15" s="131">
        <v>6</v>
      </c>
      <c r="V15" s="256">
        <v>6</v>
      </c>
      <c r="W15" s="73"/>
      <c r="X15" s="74"/>
      <c r="Y15" s="75"/>
      <c r="Z15" s="75"/>
      <c r="AA15" s="76"/>
    </row>
    <row r="16" spans="1:27" s="77" customFormat="1" ht="20.25" x14ac:dyDescent="0.25">
      <c r="A16" s="389"/>
      <c r="B16" s="360"/>
      <c r="C16" s="65" t="s">
        <v>31</v>
      </c>
      <c r="D16" s="65" t="s">
        <v>125</v>
      </c>
      <c r="E16" s="66">
        <v>60</v>
      </c>
      <c r="F16" s="322"/>
      <c r="G16" s="66">
        <v>12</v>
      </c>
      <c r="H16" s="325"/>
      <c r="I16" s="66">
        <v>12</v>
      </c>
      <c r="J16" s="328"/>
      <c r="K16" s="69">
        <v>3</v>
      </c>
      <c r="L16" s="325"/>
      <c r="M16" s="71"/>
      <c r="N16" s="328"/>
      <c r="O16" s="71"/>
      <c r="P16" s="331"/>
      <c r="Q16" s="69"/>
      <c r="R16" s="331"/>
      <c r="S16" s="69">
        <v>6</v>
      </c>
      <c r="T16" s="253">
        <v>50</v>
      </c>
      <c r="U16" s="131">
        <v>6</v>
      </c>
      <c r="V16" s="256">
        <v>6</v>
      </c>
      <c r="W16" s="73"/>
      <c r="X16" s="74"/>
      <c r="Y16" s="75"/>
      <c r="Z16" s="75"/>
      <c r="AA16" s="76"/>
    </row>
    <row r="17" spans="1:37" s="77" customFormat="1" ht="40.5" x14ac:dyDescent="0.25">
      <c r="A17" s="390"/>
      <c r="B17" s="391"/>
      <c r="C17" s="65" t="s">
        <v>32</v>
      </c>
      <c r="D17" s="65" t="s">
        <v>125</v>
      </c>
      <c r="E17" s="66">
        <v>60</v>
      </c>
      <c r="F17" s="323"/>
      <c r="G17" s="66">
        <v>12</v>
      </c>
      <c r="H17" s="326"/>
      <c r="I17" s="66">
        <v>12</v>
      </c>
      <c r="J17" s="329"/>
      <c r="K17" s="69">
        <v>3</v>
      </c>
      <c r="L17" s="326"/>
      <c r="M17" s="71"/>
      <c r="N17" s="329"/>
      <c r="O17" s="71"/>
      <c r="P17" s="332"/>
      <c r="Q17" s="69"/>
      <c r="R17" s="332"/>
      <c r="S17" s="69">
        <v>6</v>
      </c>
      <c r="T17" s="254">
        <v>50</v>
      </c>
      <c r="U17" s="131">
        <v>6</v>
      </c>
      <c r="V17" s="257">
        <v>6</v>
      </c>
      <c r="W17" s="73"/>
      <c r="X17" s="74"/>
      <c r="Y17" s="75"/>
      <c r="Z17" s="75"/>
      <c r="AA17" s="76"/>
    </row>
    <row r="18" spans="1:37" s="77" customFormat="1" ht="69.75" customHeight="1" x14ac:dyDescent="0.25">
      <c r="A18" s="235" t="s">
        <v>134</v>
      </c>
      <c r="B18" s="234" t="s">
        <v>33</v>
      </c>
      <c r="C18" s="65" t="s">
        <v>34</v>
      </c>
      <c r="D18" s="65" t="s">
        <v>126</v>
      </c>
      <c r="E18" s="66">
        <v>7</v>
      </c>
      <c r="F18" s="67">
        <f>416000000+(475000000*4)</f>
        <v>2316000000</v>
      </c>
      <c r="G18" s="66">
        <v>2</v>
      </c>
      <c r="H18" s="68">
        <v>0</v>
      </c>
      <c r="I18" s="66">
        <v>2</v>
      </c>
      <c r="J18" s="81">
        <v>416000000</v>
      </c>
      <c r="K18" s="69">
        <v>2</v>
      </c>
      <c r="L18" s="70">
        <v>415230000</v>
      </c>
      <c r="M18" s="71"/>
      <c r="N18" s="70">
        <f>415750000-415230000</f>
        <v>520000</v>
      </c>
      <c r="O18" s="71"/>
      <c r="P18" s="70"/>
      <c r="Q18" s="69"/>
      <c r="R18" s="70"/>
      <c r="S18" s="69">
        <f t="shared" ref="S18:S24" si="0">K18+M18+O18+Q18</f>
        <v>2</v>
      </c>
      <c r="T18" s="72">
        <v>100</v>
      </c>
      <c r="U18" s="73">
        <v>2</v>
      </c>
      <c r="V18" s="74">
        <v>2</v>
      </c>
      <c r="W18" s="73"/>
      <c r="X18" s="74"/>
      <c r="Y18" s="75"/>
      <c r="Z18" s="75"/>
      <c r="AA18" s="76"/>
    </row>
    <row r="19" spans="1:37" s="77" customFormat="1" ht="58.5" customHeight="1" x14ac:dyDescent="0.25">
      <c r="A19" s="388" t="s">
        <v>135</v>
      </c>
      <c r="B19" s="359" t="s">
        <v>35</v>
      </c>
      <c r="C19" s="65" t="s">
        <v>36</v>
      </c>
      <c r="D19" s="65" t="s">
        <v>127</v>
      </c>
      <c r="E19" s="66">
        <v>20</v>
      </c>
      <c r="F19" s="348">
        <f>439000000+(500000000*4)</f>
        <v>2439000000</v>
      </c>
      <c r="G19" s="66">
        <v>4</v>
      </c>
      <c r="H19" s="327">
        <v>638246000</v>
      </c>
      <c r="I19" s="66">
        <v>4</v>
      </c>
      <c r="J19" s="327">
        <v>439000000</v>
      </c>
      <c r="K19" s="70">
        <v>0</v>
      </c>
      <c r="L19" s="327">
        <v>58000000</v>
      </c>
      <c r="M19" s="71"/>
      <c r="N19" s="327">
        <f>180100000-L19</f>
        <v>122100000</v>
      </c>
      <c r="O19" s="71"/>
      <c r="P19" s="330"/>
      <c r="Q19" s="69"/>
      <c r="R19" s="330"/>
      <c r="S19" s="69">
        <v>0</v>
      </c>
      <c r="T19" s="252">
        <v>0</v>
      </c>
      <c r="U19" s="73">
        <v>0</v>
      </c>
      <c r="V19" s="255">
        <v>0</v>
      </c>
      <c r="W19" s="73"/>
      <c r="X19" s="74"/>
      <c r="Y19" s="75"/>
      <c r="Z19" s="75"/>
      <c r="AA19" s="76"/>
    </row>
    <row r="20" spans="1:37" s="77" customFormat="1" ht="53.25" customHeight="1" x14ac:dyDescent="0.25">
      <c r="A20" s="389"/>
      <c r="B20" s="360"/>
      <c r="C20" s="65" t="s">
        <v>39</v>
      </c>
      <c r="D20" s="65" t="s">
        <v>126</v>
      </c>
      <c r="E20" s="66">
        <v>58</v>
      </c>
      <c r="F20" s="349"/>
      <c r="G20" s="66">
        <v>9</v>
      </c>
      <c r="H20" s="328"/>
      <c r="I20" s="66">
        <v>9</v>
      </c>
      <c r="J20" s="328"/>
      <c r="K20" s="69">
        <v>4</v>
      </c>
      <c r="L20" s="328"/>
      <c r="M20" s="71"/>
      <c r="N20" s="328"/>
      <c r="O20" s="71"/>
      <c r="P20" s="331"/>
      <c r="Q20" s="69"/>
      <c r="R20" s="331"/>
      <c r="S20" s="69">
        <v>8</v>
      </c>
      <c r="T20" s="253">
        <v>88.888888888888886</v>
      </c>
      <c r="U20" s="73">
        <v>8</v>
      </c>
      <c r="V20" s="256">
        <v>8</v>
      </c>
      <c r="W20" s="73"/>
      <c r="X20" s="74"/>
      <c r="Y20" s="75"/>
      <c r="Z20" s="75"/>
      <c r="AA20" s="76"/>
    </row>
    <row r="21" spans="1:37" s="77" customFormat="1" ht="60.75" x14ac:dyDescent="0.25">
      <c r="A21" s="389"/>
      <c r="B21" s="360"/>
      <c r="C21" s="82" t="s">
        <v>40</v>
      </c>
      <c r="D21" s="82" t="s">
        <v>126</v>
      </c>
      <c r="E21" s="66">
        <v>55</v>
      </c>
      <c r="F21" s="349"/>
      <c r="G21" s="66">
        <v>11</v>
      </c>
      <c r="H21" s="328"/>
      <c r="I21" s="66">
        <v>11</v>
      </c>
      <c r="J21" s="328"/>
      <c r="K21" s="69">
        <v>2</v>
      </c>
      <c r="L21" s="328"/>
      <c r="M21" s="71"/>
      <c r="N21" s="328"/>
      <c r="O21" s="71"/>
      <c r="P21" s="331"/>
      <c r="Q21" s="69"/>
      <c r="R21" s="331"/>
      <c r="S21" s="69">
        <v>4</v>
      </c>
      <c r="T21" s="253">
        <v>36.363636363636367</v>
      </c>
      <c r="U21" s="73">
        <v>4</v>
      </c>
      <c r="V21" s="256">
        <v>4</v>
      </c>
      <c r="W21" s="73"/>
      <c r="X21" s="74"/>
      <c r="Y21" s="75"/>
      <c r="Z21" s="75"/>
      <c r="AA21" s="76"/>
    </row>
    <row r="22" spans="1:37" s="77" customFormat="1" ht="40.5" x14ac:dyDescent="0.25">
      <c r="A22" s="389"/>
      <c r="B22" s="360"/>
      <c r="C22" s="65" t="s">
        <v>37</v>
      </c>
      <c r="D22" s="82" t="s">
        <v>126</v>
      </c>
      <c r="E22" s="66">
        <v>418</v>
      </c>
      <c r="F22" s="349"/>
      <c r="G22" s="66">
        <v>75</v>
      </c>
      <c r="H22" s="328"/>
      <c r="I22" s="66">
        <v>39</v>
      </c>
      <c r="J22" s="328"/>
      <c r="K22" s="69">
        <v>10</v>
      </c>
      <c r="L22" s="328"/>
      <c r="M22" s="71"/>
      <c r="N22" s="328"/>
      <c r="O22" s="71"/>
      <c r="P22" s="331"/>
      <c r="Q22" s="69"/>
      <c r="R22" s="331"/>
      <c r="S22" s="69">
        <v>20</v>
      </c>
      <c r="T22" s="253">
        <v>51.282051282051277</v>
      </c>
      <c r="U22" s="73">
        <v>20</v>
      </c>
      <c r="V22" s="256">
        <v>20</v>
      </c>
      <c r="W22" s="73"/>
      <c r="X22" s="74"/>
      <c r="Y22" s="75"/>
      <c r="Z22" s="75"/>
      <c r="AA22" s="76"/>
    </row>
    <row r="23" spans="1:37" s="77" customFormat="1" ht="39" customHeight="1" x14ac:dyDescent="0.25">
      <c r="A23" s="390"/>
      <c r="B23" s="391"/>
      <c r="C23" s="65" t="s">
        <v>38</v>
      </c>
      <c r="D23" s="82" t="s">
        <v>126</v>
      </c>
      <c r="E23" s="66">
        <v>192</v>
      </c>
      <c r="F23" s="350"/>
      <c r="G23" s="66">
        <v>30</v>
      </c>
      <c r="H23" s="329"/>
      <c r="I23" s="66">
        <v>37</v>
      </c>
      <c r="J23" s="329"/>
      <c r="K23" s="69">
        <v>10</v>
      </c>
      <c r="L23" s="329"/>
      <c r="M23" s="71"/>
      <c r="N23" s="329"/>
      <c r="O23" s="71"/>
      <c r="P23" s="332"/>
      <c r="Q23" s="69"/>
      <c r="R23" s="332"/>
      <c r="S23" s="69">
        <v>20</v>
      </c>
      <c r="T23" s="254">
        <v>54.054054054054056</v>
      </c>
      <c r="U23" s="73">
        <v>20</v>
      </c>
      <c r="V23" s="257">
        <v>20</v>
      </c>
      <c r="W23" s="73"/>
      <c r="X23" s="74"/>
      <c r="Y23" s="75"/>
      <c r="Z23" s="75"/>
      <c r="AA23" s="76"/>
    </row>
    <row r="24" spans="1:37" s="77" customFormat="1" ht="99.75" customHeight="1" x14ac:dyDescent="0.25">
      <c r="A24" s="83" t="s">
        <v>136</v>
      </c>
      <c r="B24" s="84" t="s">
        <v>41</v>
      </c>
      <c r="C24" s="69" t="s">
        <v>42</v>
      </c>
      <c r="D24" s="69" t="s">
        <v>128</v>
      </c>
      <c r="E24" s="66">
        <v>17</v>
      </c>
      <c r="F24" s="67">
        <f>80000000+(110000000*4)</f>
        <v>520000000</v>
      </c>
      <c r="G24" s="66">
        <v>1</v>
      </c>
      <c r="H24" s="68">
        <v>0</v>
      </c>
      <c r="I24" s="66">
        <v>1</v>
      </c>
      <c r="J24" s="68">
        <v>80000000</v>
      </c>
      <c r="K24" s="66">
        <v>0</v>
      </c>
      <c r="L24" s="66">
        <v>0</v>
      </c>
      <c r="M24" s="71"/>
      <c r="N24" s="68">
        <v>11000000</v>
      </c>
      <c r="O24" s="71"/>
      <c r="P24" s="70"/>
      <c r="Q24" s="69"/>
      <c r="R24" s="70"/>
      <c r="S24" s="69">
        <f t="shared" si="0"/>
        <v>0</v>
      </c>
      <c r="T24" s="72">
        <v>0</v>
      </c>
      <c r="U24" s="73">
        <v>0</v>
      </c>
      <c r="V24" s="74">
        <v>0</v>
      </c>
      <c r="W24" s="73"/>
      <c r="X24" s="74"/>
      <c r="Y24" s="75"/>
      <c r="Z24" s="75"/>
      <c r="AA24" s="76"/>
    </row>
    <row r="25" spans="1:37" s="77" customFormat="1" ht="56.25" customHeight="1" x14ac:dyDescent="0.25">
      <c r="A25" s="83" t="s">
        <v>137</v>
      </c>
      <c r="B25" s="84" t="s">
        <v>43</v>
      </c>
      <c r="C25" s="69" t="s">
        <v>44</v>
      </c>
      <c r="D25" s="69" t="s">
        <v>129</v>
      </c>
      <c r="E25" s="66">
        <v>18</v>
      </c>
      <c r="F25" s="67">
        <f>50000000+(60000000*4)</f>
        <v>290000000</v>
      </c>
      <c r="G25" s="66">
        <v>3</v>
      </c>
      <c r="H25" s="68">
        <v>46280000</v>
      </c>
      <c r="I25" s="66">
        <v>6</v>
      </c>
      <c r="J25" s="68">
        <v>50000000</v>
      </c>
      <c r="K25" s="69">
        <v>1</v>
      </c>
      <c r="L25" s="70">
        <v>9600000</v>
      </c>
      <c r="M25" s="71"/>
      <c r="N25" s="70">
        <f>13350000-L25</f>
        <v>3750000</v>
      </c>
      <c r="O25" s="71"/>
      <c r="P25" s="70"/>
      <c r="Q25" s="69"/>
      <c r="R25" s="70"/>
      <c r="S25" s="69">
        <v>2</v>
      </c>
      <c r="T25" s="72">
        <v>33.333333333333329</v>
      </c>
      <c r="U25" s="73">
        <v>2</v>
      </c>
      <c r="V25" s="74">
        <v>2</v>
      </c>
      <c r="W25" s="73"/>
      <c r="X25" s="74"/>
      <c r="Y25" s="75"/>
      <c r="Z25" s="75"/>
      <c r="AA25" s="76"/>
    </row>
    <row r="26" spans="1:37" s="77" customFormat="1" ht="59.25" customHeight="1" x14ac:dyDescent="0.25">
      <c r="A26" s="83" t="s">
        <v>138</v>
      </c>
      <c r="B26" s="84" t="s">
        <v>45</v>
      </c>
      <c r="C26" s="69" t="s">
        <v>46</v>
      </c>
      <c r="D26" s="69" t="s">
        <v>125</v>
      </c>
      <c r="E26" s="66">
        <v>60</v>
      </c>
      <c r="F26" s="67">
        <f>45000000+(60000000*4)</f>
        <v>285000000</v>
      </c>
      <c r="G26" s="66">
        <v>12</v>
      </c>
      <c r="H26" s="68">
        <v>40483000</v>
      </c>
      <c r="I26" s="66">
        <v>12</v>
      </c>
      <c r="J26" s="68">
        <v>45000000</v>
      </c>
      <c r="K26" s="69">
        <v>3</v>
      </c>
      <c r="L26" s="70">
        <v>7500000</v>
      </c>
      <c r="M26" s="71"/>
      <c r="N26" s="70">
        <f>18500000-L26</f>
        <v>11000000</v>
      </c>
      <c r="O26" s="71"/>
      <c r="P26" s="70"/>
      <c r="Q26" s="69"/>
      <c r="R26" s="70"/>
      <c r="S26" s="69">
        <v>6</v>
      </c>
      <c r="T26" s="72">
        <v>50</v>
      </c>
      <c r="U26" s="73">
        <v>6</v>
      </c>
      <c r="V26" s="74">
        <v>6</v>
      </c>
      <c r="W26" s="73"/>
      <c r="X26" s="74"/>
      <c r="Y26" s="75"/>
      <c r="Z26" s="75"/>
      <c r="AA26" s="76"/>
    </row>
    <row r="27" spans="1:37" s="77" customFormat="1" ht="81" x14ac:dyDescent="0.25">
      <c r="A27" s="83" t="s">
        <v>139</v>
      </c>
      <c r="B27" s="84" t="s">
        <v>47</v>
      </c>
      <c r="C27" s="69" t="s">
        <v>48</v>
      </c>
      <c r="D27" s="69" t="s">
        <v>125</v>
      </c>
      <c r="E27" s="66">
        <v>60</v>
      </c>
      <c r="F27" s="67">
        <f>290000000+(300000000*4)</f>
        <v>1490000000</v>
      </c>
      <c r="G27" s="66">
        <v>12</v>
      </c>
      <c r="H27" s="68">
        <f>194706322+29630000</f>
        <v>224336322</v>
      </c>
      <c r="I27" s="66">
        <v>12</v>
      </c>
      <c r="J27" s="68">
        <v>290000000</v>
      </c>
      <c r="K27" s="69">
        <v>3</v>
      </c>
      <c r="L27" s="70">
        <v>22471500</v>
      </c>
      <c r="M27" s="71"/>
      <c r="N27" s="70">
        <f>84278680-L27</f>
        <v>61807180</v>
      </c>
      <c r="O27" s="71"/>
      <c r="P27" s="70"/>
      <c r="Q27" s="69"/>
      <c r="R27" s="70"/>
      <c r="S27" s="69">
        <v>6</v>
      </c>
      <c r="T27" s="72">
        <v>50</v>
      </c>
      <c r="U27" s="73">
        <v>6</v>
      </c>
      <c r="V27" s="74">
        <v>6</v>
      </c>
      <c r="W27" s="73"/>
      <c r="X27" s="74"/>
      <c r="Y27" s="75"/>
      <c r="Z27" s="75"/>
      <c r="AA27" s="76"/>
    </row>
    <row r="28" spans="1:37" s="142" customFormat="1" ht="67.5" customHeight="1" x14ac:dyDescent="0.25">
      <c r="A28" s="399" t="s">
        <v>132</v>
      </c>
      <c r="B28" s="361" t="s">
        <v>49</v>
      </c>
      <c r="C28" s="129" t="s">
        <v>50</v>
      </c>
      <c r="D28" s="143" t="s">
        <v>124</v>
      </c>
      <c r="E28" s="136">
        <v>100</v>
      </c>
      <c r="F28" s="354">
        <f>F30+F31</f>
        <v>90000000</v>
      </c>
      <c r="G28" s="136">
        <v>100</v>
      </c>
      <c r="H28" s="354">
        <f>H30+H31</f>
        <v>10662000</v>
      </c>
      <c r="I28" s="136">
        <v>100</v>
      </c>
      <c r="J28" s="354">
        <f>J30+J31</f>
        <v>14000000</v>
      </c>
      <c r="K28" s="130">
        <f>(K30+K31)/(I30+I31)*100</f>
        <v>40</v>
      </c>
      <c r="L28" s="290">
        <f>L30+L31</f>
        <v>6300000</v>
      </c>
      <c r="M28" s="130"/>
      <c r="N28" s="287"/>
      <c r="O28" s="130"/>
      <c r="P28" s="287"/>
      <c r="Q28" s="144"/>
      <c r="R28" s="287"/>
      <c r="S28" s="144">
        <f>K28+M28+O28+Q28</f>
        <v>40</v>
      </c>
      <c r="T28" s="239">
        <v>40</v>
      </c>
      <c r="U28" s="144">
        <v>40</v>
      </c>
      <c r="V28" s="239">
        <v>40</v>
      </c>
      <c r="W28" s="144"/>
      <c r="X28" s="144"/>
      <c r="Y28" s="144"/>
      <c r="Z28" s="144"/>
      <c r="AA28" s="145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</row>
    <row r="29" spans="1:37" s="142" customFormat="1" ht="101.25" customHeight="1" x14ac:dyDescent="0.25">
      <c r="A29" s="401"/>
      <c r="B29" s="363"/>
      <c r="C29" s="129" t="s">
        <v>51</v>
      </c>
      <c r="D29" s="143" t="s">
        <v>124</v>
      </c>
      <c r="E29" s="136">
        <v>90</v>
      </c>
      <c r="F29" s="356"/>
      <c r="G29" s="136">
        <v>90</v>
      </c>
      <c r="H29" s="356"/>
      <c r="I29" s="136">
        <v>90</v>
      </c>
      <c r="J29" s="356"/>
      <c r="K29" s="130">
        <v>90</v>
      </c>
      <c r="L29" s="289"/>
      <c r="M29" s="130"/>
      <c r="N29" s="289"/>
      <c r="O29" s="130"/>
      <c r="P29" s="289"/>
      <c r="Q29" s="144"/>
      <c r="R29" s="289"/>
      <c r="S29" s="144">
        <f t="shared" ref="S29:S31" si="1">K29+M29+O29+Q29</f>
        <v>90</v>
      </c>
      <c r="T29" s="238">
        <v>100</v>
      </c>
      <c r="U29" s="144">
        <v>90</v>
      </c>
      <c r="V29" s="263">
        <v>90</v>
      </c>
      <c r="W29" s="144"/>
      <c r="X29" s="144"/>
      <c r="Y29" s="144"/>
      <c r="Z29" s="144"/>
      <c r="AA29" s="145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</row>
    <row r="30" spans="1:37" s="77" customFormat="1" ht="101.25" customHeight="1" x14ac:dyDescent="0.25">
      <c r="A30" s="83" t="s">
        <v>140</v>
      </c>
      <c r="B30" s="88" t="s">
        <v>52</v>
      </c>
      <c r="C30" s="65" t="s">
        <v>54</v>
      </c>
      <c r="D30" s="65" t="s">
        <v>129</v>
      </c>
      <c r="E30" s="66">
        <v>20</v>
      </c>
      <c r="F30" s="67">
        <v>45000000</v>
      </c>
      <c r="G30" s="66">
        <v>4</v>
      </c>
      <c r="H30" s="68">
        <v>5770000</v>
      </c>
      <c r="I30" s="66">
        <v>4</v>
      </c>
      <c r="J30" s="68">
        <v>7000000</v>
      </c>
      <c r="K30" s="69">
        <v>1</v>
      </c>
      <c r="L30" s="70">
        <v>0</v>
      </c>
      <c r="M30" s="71"/>
      <c r="N30" s="70"/>
      <c r="O30" s="71"/>
      <c r="P30" s="70"/>
      <c r="Q30" s="69"/>
      <c r="R30" s="70"/>
      <c r="S30" s="140">
        <f t="shared" si="1"/>
        <v>1</v>
      </c>
      <c r="T30" s="72">
        <v>25</v>
      </c>
      <c r="U30" s="140">
        <v>1</v>
      </c>
      <c r="V30" s="132">
        <v>1</v>
      </c>
      <c r="W30" s="73"/>
      <c r="X30" s="74"/>
      <c r="Y30" s="75"/>
      <c r="Z30" s="75"/>
      <c r="AA30" s="76"/>
    </row>
    <row r="31" spans="1:37" s="77" customFormat="1" ht="96" customHeight="1" x14ac:dyDescent="0.25">
      <c r="A31" s="83" t="s">
        <v>141</v>
      </c>
      <c r="B31" s="89" t="s">
        <v>53</v>
      </c>
      <c r="C31" s="65" t="s">
        <v>55</v>
      </c>
      <c r="D31" s="65" t="s">
        <v>129</v>
      </c>
      <c r="E31" s="65">
        <v>5</v>
      </c>
      <c r="F31" s="67">
        <v>45000000</v>
      </c>
      <c r="G31" s="71">
        <v>1</v>
      </c>
      <c r="H31" s="68">
        <v>4892000</v>
      </c>
      <c r="I31" s="71">
        <v>1</v>
      </c>
      <c r="J31" s="68">
        <v>7000000</v>
      </c>
      <c r="K31" s="69">
        <v>1</v>
      </c>
      <c r="L31" s="70">
        <v>6300000</v>
      </c>
      <c r="M31" s="71"/>
      <c r="N31" s="70"/>
      <c r="O31" s="71"/>
      <c r="P31" s="70"/>
      <c r="Q31" s="69"/>
      <c r="R31" s="70"/>
      <c r="S31" s="140">
        <f t="shared" si="1"/>
        <v>1</v>
      </c>
      <c r="T31" s="72">
        <v>100</v>
      </c>
      <c r="U31" s="140">
        <v>1</v>
      </c>
      <c r="V31" s="132">
        <v>1</v>
      </c>
      <c r="W31" s="73"/>
      <c r="X31" s="74"/>
      <c r="Y31" s="75"/>
      <c r="Z31" s="75"/>
      <c r="AA31" s="76"/>
    </row>
    <row r="32" spans="1:37" s="77" customFormat="1" ht="96.75" customHeight="1" x14ac:dyDescent="0.25">
      <c r="A32" s="399" t="s">
        <v>142</v>
      </c>
      <c r="B32" s="361" t="s">
        <v>56</v>
      </c>
      <c r="C32" s="129" t="s">
        <v>57</v>
      </c>
      <c r="D32" s="143" t="s">
        <v>124</v>
      </c>
      <c r="E32" s="136">
        <v>100</v>
      </c>
      <c r="F32" s="354">
        <f>SUM(F34:F38)</f>
        <v>1905000000</v>
      </c>
      <c r="G32" s="136">
        <v>100</v>
      </c>
      <c r="H32" s="354">
        <f>SUM(H34:H38)</f>
        <v>202293000</v>
      </c>
      <c r="I32" s="136">
        <v>100</v>
      </c>
      <c r="J32" s="354">
        <f>SUM(J34:J38)</f>
        <v>330000000</v>
      </c>
      <c r="K32" s="130">
        <f>(SUM(K34:K38)/SUM(I34:I38))*100</f>
        <v>52.941176470588239</v>
      </c>
      <c r="L32" s="290">
        <f>SUM(L34:L38)</f>
        <v>55008000</v>
      </c>
      <c r="M32" s="130"/>
      <c r="N32" s="290">
        <f>N34+N35+N36+N37+N38</f>
        <v>79745000</v>
      </c>
      <c r="O32" s="130"/>
      <c r="P32" s="287"/>
      <c r="Q32" s="130"/>
      <c r="R32" s="287"/>
      <c r="S32" s="129">
        <f>K32+M32+O32+Q32</f>
        <v>52.941176470588239</v>
      </c>
      <c r="T32" s="261">
        <v>90</v>
      </c>
      <c r="U32" s="137">
        <v>52.941176470588239</v>
      </c>
      <c r="V32" s="264">
        <v>52.941176470588239</v>
      </c>
      <c r="W32" s="144"/>
      <c r="X32" s="144"/>
      <c r="Y32" s="75"/>
      <c r="Z32" s="75"/>
      <c r="AA32" s="76"/>
    </row>
    <row r="33" spans="1:27" s="77" customFormat="1" ht="86.25" customHeight="1" x14ac:dyDescent="0.25">
      <c r="A33" s="401"/>
      <c r="B33" s="363"/>
      <c r="C33" s="129" t="s">
        <v>58</v>
      </c>
      <c r="D33" s="143" t="s">
        <v>124</v>
      </c>
      <c r="E33" s="136">
        <v>90</v>
      </c>
      <c r="F33" s="356"/>
      <c r="G33" s="136">
        <v>90</v>
      </c>
      <c r="H33" s="356"/>
      <c r="I33" s="136">
        <v>90</v>
      </c>
      <c r="J33" s="356"/>
      <c r="K33" s="130">
        <v>90</v>
      </c>
      <c r="L33" s="289"/>
      <c r="M33" s="130"/>
      <c r="N33" s="289"/>
      <c r="O33" s="130"/>
      <c r="P33" s="289"/>
      <c r="Q33" s="130"/>
      <c r="R33" s="289"/>
      <c r="S33" s="129">
        <f t="shared" ref="S33:S38" si="2">K33+M33+O33+Q33</f>
        <v>90</v>
      </c>
      <c r="T33" s="262">
        <v>100</v>
      </c>
      <c r="U33" s="159">
        <v>90</v>
      </c>
      <c r="V33" s="265">
        <v>90</v>
      </c>
      <c r="W33" s="144"/>
      <c r="X33" s="144"/>
      <c r="Y33" s="75"/>
      <c r="Z33" s="75"/>
      <c r="AA33" s="76"/>
    </row>
    <row r="34" spans="1:27" s="77" customFormat="1" ht="59.25" customHeight="1" x14ac:dyDescent="0.25">
      <c r="A34" s="83" t="s">
        <v>143</v>
      </c>
      <c r="B34" s="65" t="s">
        <v>59</v>
      </c>
      <c r="C34" s="69" t="s">
        <v>64</v>
      </c>
      <c r="D34" s="69" t="s">
        <v>129</v>
      </c>
      <c r="E34" s="65">
        <v>15</v>
      </c>
      <c r="F34" s="67">
        <v>465000000</v>
      </c>
      <c r="G34" s="91">
        <v>3</v>
      </c>
      <c r="H34" s="68">
        <f>34240000+50924000</f>
        <v>85164000</v>
      </c>
      <c r="I34" s="91">
        <v>3</v>
      </c>
      <c r="J34" s="68">
        <v>90000000</v>
      </c>
      <c r="K34" s="69">
        <v>1</v>
      </c>
      <c r="L34" s="68">
        <v>15978000</v>
      </c>
      <c r="M34" s="71"/>
      <c r="N34" s="68">
        <f>60519500-L34</f>
        <v>44541500</v>
      </c>
      <c r="O34" s="71"/>
      <c r="P34" s="70"/>
      <c r="Q34" s="69"/>
      <c r="R34" s="70"/>
      <c r="S34" s="71">
        <f t="shared" si="2"/>
        <v>1</v>
      </c>
      <c r="T34" s="149">
        <v>33.333333333333329</v>
      </c>
      <c r="U34" s="150">
        <v>1</v>
      </c>
      <c r="V34" s="141">
        <v>1</v>
      </c>
      <c r="W34" s="73"/>
      <c r="X34" s="74"/>
      <c r="Y34" s="75"/>
      <c r="Z34" s="75"/>
      <c r="AA34" s="76"/>
    </row>
    <row r="35" spans="1:27" s="77" customFormat="1" ht="47.25" customHeight="1" x14ac:dyDescent="0.25">
      <c r="A35" s="83" t="s">
        <v>144</v>
      </c>
      <c r="B35" s="65" t="s">
        <v>60</v>
      </c>
      <c r="C35" s="65" t="s">
        <v>65</v>
      </c>
      <c r="D35" s="69" t="s">
        <v>129</v>
      </c>
      <c r="E35" s="65">
        <v>20</v>
      </c>
      <c r="F35" s="67">
        <v>335000000</v>
      </c>
      <c r="G35" s="91">
        <v>4</v>
      </c>
      <c r="H35" s="68"/>
      <c r="I35" s="91">
        <v>4</v>
      </c>
      <c r="J35" s="68">
        <v>50000000</v>
      </c>
      <c r="K35" s="69">
        <v>2</v>
      </c>
      <c r="L35" s="68">
        <v>14165000</v>
      </c>
      <c r="M35" s="71"/>
      <c r="N35" s="68">
        <f>18982000-L35</f>
        <v>4817000</v>
      </c>
      <c r="O35" s="71"/>
      <c r="P35" s="70"/>
      <c r="Q35" s="69"/>
      <c r="R35" s="70"/>
      <c r="S35" s="71">
        <v>3</v>
      </c>
      <c r="T35" s="149">
        <v>75</v>
      </c>
      <c r="U35" s="150">
        <v>3</v>
      </c>
      <c r="V35" s="141">
        <v>3</v>
      </c>
      <c r="W35" s="73"/>
      <c r="X35" s="74"/>
      <c r="Y35" s="75"/>
      <c r="Z35" s="75"/>
      <c r="AA35" s="76"/>
    </row>
    <row r="36" spans="1:27" s="77" customFormat="1" ht="43.5" customHeight="1" x14ac:dyDescent="0.25">
      <c r="A36" s="83" t="s">
        <v>146</v>
      </c>
      <c r="B36" s="65" t="s">
        <v>61</v>
      </c>
      <c r="C36" s="65" t="s">
        <v>66</v>
      </c>
      <c r="D36" s="69" t="s">
        <v>129</v>
      </c>
      <c r="E36" s="65">
        <v>20</v>
      </c>
      <c r="F36" s="67">
        <v>90000000</v>
      </c>
      <c r="G36" s="91">
        <v>4</v>
      </c>
      <c r="H36" s="68"/>
      <c r="I36" s="91">
        <v>4</v>
      </c>
      <c r="J36" s="68">
        <v>10000000</v>
      </c>
      <c r="K36" s="69">
        <v>1</v>
      </c>
      <c r="L36" s="68">
        <v>0</v>
      </c>
      <c r="M36" s="71"/>
      <c r="N36" s="68">
        <f>2500000</f>
        <v>2500000</v>
      </c>
      <c r="O36" s="71"/>
      <c r="P36" s="70"/>
      <c r="Q36" s="69"/>
      <c r="R36" s="70"/>
      <c r="S36" s="71">
        <v>2</v>
      </c>
      <c r="T36" s="149">
        <v>50</v>
      </c>
      <c r="U36" s="150">
        <v>2</v>
      </c>
      <c r="V36" s="141">
        <v>2</v>
      </c>
      <c r="W36" s="73"/>
      <c r="X36" s="74"/>
      <c r="Y36" s="75"/>
      <c r="Z36" s="75"/>
      <c r="AA36" s="76"/>
    </row>
    <row r="37" spans="1:27" s="77" customFormat="1" ht="66.75" customHeight="1" x14ac:dyDescent="0.25">
      <c r="A37" s="83" t="s">
        <v>147</v>
      </c>
      <c r="B37" s="65" t="s">
        <v>62</v>
      </c>
      <c r="C37" s="65" t="s">
        <v>67</v>
      </c>
      <c r="D37" s="69" t="s">
        <v>129</v>
      </c>
      <c r="E37" s="65">
        <v>25</v>
      </c>
      <c r="F37" s="67">
        <v>680000000</v>
      </c>
      <c r="G37" s="91">
        <v>11</v>
      </c>
      <c r="H37" s="68">
        <v>70849000</v>
      </c>
      <c r="I37" s="91">
        <v>5</v>
      </c>
      <c r="J37" s="68">
        <v>120000000</v>
      </c>
      <c r="K37" s="69">
        <v>5</v>
      </c>
      <c r="L37" s="68">
        <v>24865000</v>
      </c>
      <c r="M37" s="71"/>
      <c r="N37" s="68">
        <f>52751500-L37</f>
        <v>27886500</v>
      </c>
      <c r="O37" s="71"/>
      <c r="P37" s="70"/>
      <c r="Q37" s="69"/>
      <c r="R37" s="70"/>
      <c r="S37" s="71">
        <f t="shared" si="2"/>
        <v>5</v>
      </c>
      <c r="T37" s="149">
        <v>100</v>
      </c>
      <c r="U37" s="150">
        <v>5</v>
      </c>
      <c r="V37" s="141">
        <v>5</v>
      </c>
      <c r="W37" s="73"/>
      <c r="X37" s="74"/>
      <c r="Y37" s="75"/>
      <c r="Z37" s="75"/>
      <c r="AA37" s="76"/>
    </row>
    <row r="38" spans="1:27" s="77" customFormat="1" ht="58.5" customHeight="1" x14ac:dyDescent="0.25">
      <c r="A38" s="83" t="s">
        <v>145</v>
      </c>
      <c r="B38" s="65" t="s">
        <v>63</v>
      </c>
      <c r="C38" s="65" t="s">
        <v>68</v>
      </c>
      <c r="D38" s="69" t="s">
        <v>129</v>
      </c>
      <c r="E38" s="65">
        <v>5</v>
      </c>
      <c r="F38" s="67">
        <v>335000000</v>
      </c>
      <c r="G38" s="91">
        <v>3</v>
      </c>
      <c r="H38" s="68">
        <v>46280000</v>
      </c>
      <c r="I38" s="91">
        <v>1</v>
      </c>
      <c r="J38" s="68">
        <v>60000000</v>
      </c>
      <c r="K38" s="70">
        <v>0</v>
      </c>
      <c r="L38" s="70">
        <v>0</v>
      </c>
      <c r="M38" s="71"/>
      <c r="N38" s="70">
        <v>0</v>
      </c>
      <c r="O38" s="71"/>
      <c r="P38" s="70"/>
      <c r="Q38" s="69"/>
      <c r="R38" s="70"/>
      <c r="S38" s="71">
        <f t="shared" si="2"/>
        <v>0</v>
      </c>
      <c r="T38" s="149">
        <v>0</v>
      </c>
      <c r="U38" s="150">
        <v>0</v>
      </c>
      <c r="V38" s="141">
        <v>0</v>
      </c>
      <c r="W38" s="73"/>
      <c r="X38" s="74"/>
      <c r="Y38" s="75"/>
      <c r="Z38" s="75"/>
      <c r="AA38" s="76"/>
    </row>
    <row r="39" spans="1:27" s="77" customFormat="1" ht="42" customHeight="1" x14ac:dyDescent="0.25">
      <c r="A39" s="399" t="s">
        <v>148</v>
      </c>
      <c r="B39" s="361" t="s">
        <v>69</v>
      </c>
      <c r="C39" s="160" t="s">
        <v>70</v>
      </c>
      <c r="D39" s="161" t="s">
        <v>124</v>
      </c>
      <c r="E39" s="144">
        <v>100</v>
      </c>
      <c r="F39" s="297">
        <f>F42+F43+F44+F45</f>
        <v>21280000000</v>
      </c>
      <c r="G39" s="162">
        <v>100</v>
      </c>
      <c r="H39" s="367">
        <f>H42+H43+H44+H45</f>
        <v>1421752090</v>
      </c>
      <c r="I39" s="162">
        <v>100</v>
      </c>
      <c r="J39" s="367">
        <f>J42+J43+J44+J45</f>
        <v>1580000000</v>
      </c>
      <c r="K39" s="176">
        <v>0</v>
      </c>
      <c r="L39" s="290">
        <f>SUM(L42:L45)</f>
        <v>48000000</v>
      </c>
      <c r="M39" s="222">
        <f>(2/7)*100</f>
        <v>28.571428571428569</v>
      </c>
      <c r="N39" s="290">
        <f>N42+N43+N44+N45</f>
        <v>636378400</v>
      </c>
      <c r="O39" s="130"/>
      <c r="P39" s="287"/>
      <c r="Q39" s="144"/>
      <c r="R39" s="287"/>
      <c r="S39" s="137">
        <f>K39+M39+O39+Q39</f>
        <v>28.571428571428569</v>
      </c>
      <c r="T39" s="243">
        <v>28.571428571428569</v>
      </c>
      <c r="U39" s="159">
        <v>28.571428571428569</v>
      </c>
      <c r="V39" s="240">
        <v>28.571428571428569</v>
      </c>
      <c r="W39" s="273" t="s">
        <v>194</v>
      </c>
      <c r="X39" s="274"/>
      <c r="Y39" s="75"/>
      <c r="Z39" s="75"/>
      <c r="AA39" s="76"/>
    </row>
    <row r="40" spans="1:27" s="77" customFormat="1" ht="50.25" customHeight="1" x14ac:dyDescent="0.25">
      <c r="A40" s="400"/>
      <c r="B40" s="362"/>
      <c r="C40" s="160" t="s">
        <v>71</v>
      </c>
      <c r="D40" s="161" t="s">
        <v>124</v>
      </c>
      <c r="E40" s="144">
        <v>100</v>
      </c>
      <c r="F40" s="288"/>
      <c r="G40" s="162">
        <v>100</v>
      </c>
      <c r="H40" s="368"/>
      <c r="I40" s="162">
        <v>100</v>
      </c>
      <c r="J40" s="368"/>
      <c r="K40" s="176">
        <v>0</v>
      </c>
      <c r="L40" s="288"/>
      <c r="M40" s="176">
        <v>20</v>
      </c>
      <c r="N40" s="288"/>
      <c r="O40" s="130"/>
      <c r="P40" s="288"/>
      <c r="Q40" s="144"/>
      <c r="R40" s="288"/>
      <c r="S40" s="129">
        <f t="shared" ref="S40:S45" si="3">K40+M40+O40+Q40</f>
        <v>20</v>
      </c>
      <c r="T40" s="244">
        <v>20</v>
      </c>
      <c r="U40" s="159">
        <v>20</v>
      </c>
      <c r="V40" s="241">
        <v>20</v>
      </c>
      <c r="W40" s="275"/>
      <c r="X40" s="276"/>
      <c r="Y40" s="75"/>
      <c r="Z40" s="75"/>
      <c r="AA40" s="76"/>
    </row>
    <row r="41" spans="1:27" s="77" customFormat="1" ht="48" customHeight="1" x14ac:dyDescent="0.25">
      <c r="A41" s="401"/>
      <c r="B41" s="363"/>
      <c r="C41" s="160" t="s">
        <v>72</v>
      </c>
      <c r="D41" s="161" t="s">
        <v>124</v>
      </c>
      <c r="E41" s="144">
        <v>100</v>
      </c>
      <c r="F41" s="289"/>
      <c r="G41" s="163">
        <v>100</v>
      </c>
      <c r="H41" s="369"/>
      <c r="I41" s="162">
        <v>100</v>
      </c>
      <c r="J41" s="369"/>
      <c r="K41" s="176">
        <v>0</v>
      </c>
      <c r="L41" s="289"/>
      <c r="M41" s="176">
        <v>0</v>
      </c>
      <c r="N41" s="289"/>
      <c r="O41" s="130"/>
      <c r="P41" s="289"/>
      <c r="Q41" s="144"/>
      <c r="R41" s="289"/>
      <c r="S41" s="129">
        <f t="shared" si="3"/>
        <v>0</v>
      </c>
      <c r="T41" s="245">
        <v>0</v>
      </c>
      <c r="U41" s="159">
        <v>0</v>
      </c>
      <c r="V41" s="242">
        <v>0</v>
      </c>
      <c r="W41" s="277"/>
      <c r="X41" s="278"/>
      <c r="Y41" s="75"/>
      <c r="Z41" s="75"/>
      <c r="AA41" s="76"/>
    </row>
    <row r="42" spans="1:27" s="77" customFormat="1" ht="63" customHeight="1" x14ac:dyDescent="0.25">
      <c r="A42" s="316" t="s">
        <v>149</v>
      </c>
      <c r="B42" s="359" t="s">
        <v>73</v>
      </c>
      <c r="C42" s="65" t="s">
        <v>118</v>
      </c>
      <c r="D42" s="65" t="s">
        <v>128</v>
      </c>
      <c r="E42" s="92">
        <v>20</v>
      </c>
      <c r="F42" s="67">
        <v>8908000000</v>
      </c>
      <c r="G42" s="71">
        <v>4</v>
      </c>
      <c r="H42" s="68">
        <v>42990000</v>
      </c>
      <c r="I42" s="92">
        <v>4</v>
      </c>
      <c r="J42" s="68">
        <v>500000000</v>
      </c>
      <c r="K42" s="69">
        <v>1</v>
      </c>
      <c r="L42" s="70">
        <v>24000000</v>
      </c>
      <c r="M42" s="187">
        <v>0</v>
      </c>
      <c r="N42" s="70">
        <v>17000000</v>
      </c>
      <c r="O42" s="71"/>
      <c r="P42" s="70"/>
      <c r="Q42" s="69"/>
      <c r="R42" s="70"/>
      <c r="S42" s="69">
        <f t="shared" si="3"/>
        <v>1</v>
      </c>
      <c r="T42" s="72">
        <v>25</v>
      </c>
      <c r="U42" s="131">
        <v>1</v>
      </c>
      <c r="V42" s="132">
        <v>1</v>
      </c>
      <c r="W42" s="73"/>
      <c r="X42" s="74"/>
      <c r="Y42" s="75"/>
      <c r="Z42" s="75"/>
      <c r="AA42" s="76"/>
    </row>
    <row r="43" spans="1:27" s="77" customFormat="1" ht="40.5" x14ac:dyDescent="0.25">
      <c r="A43" s="317"/>
      <c r="B43" s="391"/>
      <c r="C43" s="65" t="s">
        <v>119</v>
      </c>
      <c r="D43" s="65" t="s">
        <v>128</v>
      </c>
      <c r="E43" s="92">
        <v>25</v>
      </c>
      <c r="F43" s="67">
        <v>5385000000</v>
      </c>
      <c r="G43" s="71">
        <v>4</v>
      </c>
      <c r="H43" s="68">
        <v>626200000</v>
      </c>
      <c r="I43" s="92">
        <v>3</v>
      </c>
      <c r="J43" s="68">
        <v>480000000</v>
      </c>
      <c r="K43" s="70">
        <v>0</v>
      </c>
      <c r="L43" s="70">
        <v>0</v>
      </c>
      <c r="M43" s="187">
        <v>1</v>
      </c>
      <c r="N43" s="70">
        <f>342128400-L42</f>
        <v>318128400</v>
      </c>
      <c r="O43" s="71"/>
      <c r="P43" s="70"/>
      <c r="Q43" s="69"/>
      <c r="R43" s="70"/>
      <c r="S43" s="69">
        <f t="shared" si="3"/>
        <v>1</v>
      </c>
      <c r="T43" s="72">
        <v>33.333333333333329</v>
      </c>
      <c r="U43" s="131">
        <v>1</v>
      </c>
      <c r="V43" s="132">
        <v>1</v>
      </c>
      <c r="W43" s="73"/>
      <c r="X43" s="74"/>
      <c r="Y43" s="75"/>
      <c r="Z43" s="75"/>
      <c r="AA43" s="76"/>
    </row>
    <row r="44" spans="1:27" s="77" customFormat="1" ht="60.75" x14ac:dyDescent="0.25">
      <c r="A44" s="83" t="s">
        <v>150</v>
      </c>
      <c r="B44" s="84" t="s">
        <v>151</v>
      </c>
      <c r="C44" s="69" t="s">
        <v>120</v>
      </c>
      <c r="D44" s="65" t="s">
        <v>128</v>
      </c>
      <c r="E44" s="69">
        <v>23</v>
      </c>
      <c r="F44" s="67">
        <v>3810000000</v>
      </c>
      <c r="G44" s="71">
        <v>5</v>
      </c>
      <c r="H44" s="68">
        <v>440571000</v>
      </c>
      <c r="I44" s="92">
        <v>5</v>
      </c>
      <c r="J44" s="68">
        <v>400000000</v>
      </c>
      <c r="K44" s="69">
        <v>1</v>
      </c>
      <c r="L44" s="70">
        <v>24000000</v>
      </c>
      <c r="M44" s="187">
        <v>0</v>
      </c>
      <c r="N44" s="70">
        <f>325250000-L44</f>
        <v>301250000</v>
      </c>
      <c r="O44" s="71"/>
      <c r="P44" s="70"/>
      <c r="Q44" s="69"/>
      <c r="R44" s="70"/>
      <c r="S44" s="69">
        <f t="shared" si="3"/>
        <v>1</v>
      </c>
      <c r="T44" s="72">
        <v>20</v>
      </c>
      <c r="U44" s="131">
        <v>1</v>
      </c>
      <c r="V44" s="132">
        <v>1</v>
      </c>
      <c r="W44" s="73"/>
      <c r="X44" s="74"/>
      <c r="Y44" s="75"/>
      <c r="Z44" s="75"/>
      <c r="AA44" s="76"/>
    </row>
    <row r="45" spans="1:27" s="77" customFormat="1" ht="60.75" x14ac:dyDescent="0.25">
      <c r="A45" s="83" t="s">
        <v>152</v>
      </c>
      <c r="B45" s="65" t="s">
        <v>74</v>
      </c>
      <c r="C45" s="69" t="s">
        <v>121</v>
      </c>
      <c r="D45" s="65" t="s">
        <v>128</v>
      </c>
      <c r="E45" s="69">
        <v>22</v>
      </c>
      <c r="F45" s="67">
        <v>3177000000</v>
      </c>
      <c r="G45" s="71">
        <v>2</v>
      </c>
      <c r="H45" s="68">
        <v>311991090</v>
      </c>
      <c r="I45" s="92">
        <v>2</v>
      </c>
      <c r="J45" s="68">
        <v>200000000</v>
      </c>
      <c r="K45" s="70">
        <v>0</v>
      </c>
      <c r="L45" s="70">
        <v>0</v>
      </c>
      <c r="M45" s="187">
        <v>0</v>
      </c>
      <c r="N45" s="70">
        <v>0</v>
      </c>
      <c r="O45" s="71"/>
      <c r="P45" s="70"/>
      <c r="Q45" s="69"/>
      <c r="R45" s="70"/>
      <c r="S45" s="69">
        <f t="shared" si="3"/>
        <v>0</v>
      </c>
      <c r="T45" s="72">
        <v>0</v>
      </c>
      <c r="U45" s="131">
        <v>0</v>
      </c>
      <c r="V45" s="132">
        <v>0</v>
      </c>
      <c r="W45" s="73"/>
      <c r="X45" s="74"/>
      <c r="Y45" s="75"/>
      <c r="Z45" s="75"/>
      <c r="AA45" s="76"/>
    </row>
    <row r="46" spans="1:27" s="77" customFormat="1" ht="84" customHeight="1" x14ac:dyDescent="0.25">
      <c r="A46" s="416" t="s">
        <v>153</v>
      </c>
      <c r="B46" s="364" t="s">
        <v>75</v>
      </c>
      <c r="C46" s="165" t="s">
        <v>76</v>
      </c>
      <c r="D46" s="166" t="s">
        <v>124</v>
      </c>
      <c r="E46" s="172">
        <v>35</v>
      </c>
      <c r="F46" s="413">
        <f>SUM(F51:F54)</f>
        <v>6177000000</v>
      </c>
      <c r="G46" s="171">
        <v>33</v>
      </c>
      <c r="H46" s="410">
        <f>SUM(H51:H54)</f>
        <v>297974490</v>
      </c>
      <c r="I46" s="170">
        <v>33</v>
      </c>
      <c r="J46" s="407">
        <f>SUM(J51:J57)</f>
        <v>1653670000</v>
      </c>
      <c r="K46" s="167"/>
      <c r="L46" s="315">
        <f>SUM(L51:L54)</f>
        <v>25100000</v>
      </c>
      <c r="M46" s="223">
        <v>0</v>
      </c>
      <c r="N46" s="315">
        <f>N51+N52+N53+N54</f>
        <v>369970000</v>
      </c>
      <c r="O46" s="167"/>
      <c r="P46" s="312"/>
      <c r="Q46" s="168"/>
      <c r="R46" s="312"/>
      <c r="S46" s="169">
        <f>K46+M46+O46+Q46</f>
        <v>0</v>
      </c>
      <c r="T46" s="249">
        <v>0</v>
      </c>
      <c r="U46" s="173">
        <v>0</v>
      </c>
      <c r="V46" s="246">
        <v>0</v>
      </c>
      <c r="W46" s="279" t="s">
        <v>195</v>
      </c>
      <c r="X46" s="280"/>
      <c r="Y46" s="75"/>
      <c r="Z46" s="75"/>
      <c r="AA46" s="76"/>
    </row>
    <row r="47" spans="1:27" s="77" customFormat="1" ht="60" customHeight="1" x14ac:dyDescent="0.25">
      <c r="A47" s="417"/>
      <c r="B47" s="365"/>
      <c r="C47" s="165" t="s">
        <v>77</v>
      </c>
      <c r="D47" s="166" t="s">
        <v>124</v>
      </c>
      <c r="E47" s="172">
        <v>35</v>
      </c>
      <c r="F47" s="414"/>
      <c r="G47" s="171">
        <v>33</v>
      </c>
      <c r="H47" s="411"/>
      <c r="I47" s="170">
        <v>33</v>
      </c>
      <c r="J47" s="408"/>
      <c r="K47" s="167"/>
      <c r="L47" s="313"/>
      <c r="M47" s="223">
        <v>0</v>
      </c>
      <c r="N47" s="313"/>
      <c r="O47" s="167"/>
      <c r="P47" s="313"/>
      <c r="Q47" s="168"/>
      <c r="R47" s="313"/>
      <c r="S47" s="169">
        <f t="shared" ref="S47:S50" si="4">K47+M47+O47+Q47</f>
        <v>0</v>
      </c>
      <c r="T47" s="250">
        <v>0</v>
      </c>
      <c r="U47" s="173">
        <v>0</v>
      </c>
      <c r="V47" s="247">
        <v>0</v>
      </c>
      <c r="W47" s="281"/>
      <c r="X47" s="282"/>
      <c r="Y47" s="75"/>
      <c r="Z47" s="75"/>
      <c r="AA47" s="76"/>
    </row>
    <row r="48" spans="1:27" s="77" customFormat="1" ht="54" customHeight="1" x14ac:dyDescent="0.25">
      <c r="A48" s="417"/>
      <c r="B48" s="365"/>
      <c r="C48" s="165" t="s">
        <v>80</v>
      </c>
      <c r="D48" s="166" t="s">
        <v>124</v>
      </c>
      <c r="E48" s="171">
        <v>100</v>
      </c>
      <c r="F48" s="414"/>
      <c r="G48" s="171">
        <v>100</v>
      </c>
      <c r="H48" s="411"/>
      <c r="I48" s="171">
        <v>100</v>
      </c>
      <c r="J48" s="408"/>
      <c r="K48" s="167"/>
      <c r="L48" s="313"/>
      <c r="M48" s="223">
        <v>0</v>
      </c>
      <c r="N48" s="313"/>
      <c r="O48" s="167"/>
      <c r="P48" s="313"/>
      <c r="Q48" s="168"/>
      <c r="R48" s="313"/>
      <c r="S48" s="169">
        <f t="shared" si="4"/>
        <v>0</v>
      </c>
      <c r="T48" s="250">
        <v>0</v>
      </c>
      <c r="U48" s="173">
        <v>0</v>
      </c>
      <c r="V48" s="247">
        <v>0</v>
      </c>
      <c r="W48" s="281"/>
      <c r="X48" s="282"/>
      <c r="Y48" s="75"/>
      <c r="Z48" s="75"/>
      <c r="AA48" s="76"/>
    </row>
    <row r="49" spans="1:27" s="77" customFormat="1" ht="35.25" customHeight="1" x14ac:dyDescent="0.25">
      <c r="A49" s="417"/>
      <c r="B49" s="365"/>
      <c r="C49" s="165" t="s">
        <v>78</v>
      </c>
      <c r="D49" s="166" t="s">
        <v>124</v>
      </c>
      <c r="E49" s="172">
        <v>35</v>
      </c>
      <c r="F49" s="414"/>
      <c r="G49" s="171">
        <v>33</v>
      </c>
      <c r="H49" s="411"/>
      <c r="I49" s="170">
        <v>33</v>
      </c>
      <c r="J49" s="408"/>
      <c r="K49" s="167"/>
      <c r="L49" s="313"/>
      <c r="M49" s="223">
        <v>0</v>
      </c>
      <c r="N49" s="313"/>
      <c r="O49" s="167"/>
      <c r="P49" s="313"/>
      <c r="Q49" s="168"/>
      <c r="R49" s="313"/>
      <c r="S49" s="169">
        <f t="shared" si="4"/>
        <v>0</v>
      </c>
      <c r="T49" s="250">
        <v>0</v>
      </c>
      <c r="U49" s="173">
        <v>0</v>
      </c>
      <c r="V49" s="247">
        <v>0</v>
      </c>
      <c r="W49" s="281"/>
      <c r="X49" s="282"/>
      <c r="Y49" s="75"/>
      <c r="Z49" s="75"/>
      <c r="AA49" s="76"/>
    </row>
    <row r="50" spans="1:27" s="77" customFormat="1" ht="35.25" customHeight="1" x14ac:dyDescent="0.25">
      <c r="A50" s="418"/>
      <c r="B50" s="366"/>
      <c r="C50" s="165" t="s">
        <v>79</v>
      </c>
      <c r="D50" s="166" t="s">
        <v>124</v>
      </c>
      <c r="E50" s="172">
        <v>35</v>
      </c>
      <c r="F50" s="415"/>
      <c r="G50" s="171">
        <v>33</v>
      </c>
      <c r="H50" s="412"/>
      <c r="I50" s="170">
        <v>33</v>
      </c>
      <c r="J50" s="409"/>
      <c r="K50" s="167"/>
      <c r="L50" s="314"/>
      <c r="M50" s="223">
        <v>0</v>
      </c>
      <c r="N50" s="314"/>
      <c r="O50" s="167"/>
      <c r="P50" s="314"/>
      <c r="Q50" s="168"/>
      <c r="R50" s="314"/>
      <c r="S50" s="169">
        <f t="shared" si="4"/>
        <v>0</v>
      </c>
      <c r="T50" s="251">
        <v>0</v>
      </c>
      <c r="U50" s="173">
        <v>0</v>
      </c>
      <c r="V50" s="248">
        <v>0</v>
      </c>
      <c r="W50" s="283"/>
      <c r="X50" s="284"/>
      <c r="Y50" s="75"/>
      <c r="Z50" s="75"/>
      <c r="AA50" s="76"/>
    </row>
    <row r="51" spans="1:27" s="77" customFormat="1" ht="75" customHeight="1" x14ac:dyDescent="0.25">
      <c r="A51" s="395" t="s">
        <v>154</v>
      </c>
      <c r="B51" s="419" t="s">
        <v>12</v>
      </c>
      <c r="C51" s="69" t="s">
        <v>82</v>
      </c>
      <c r="D51" s="69" t="s">
        <v>128</v>
      </c>
      <c r="E51" s="92">
        <v>5</v>
      </c>
      <c r="F51" s="67">
        <v>1680000000</v>
      </c>
      <c r="G51" s="71">
        <v>1</v>
      </c>
      <c r="H51" s="68">
        <v>63070000</v>
      </c>
      <c r="I51" s="92">
        <v>1</v>
      </c>
      <c r="J51" s="68">
        <v>155000000</v>
      </c>
      <c r="K51" s="70">
        <v>0</v>
      </c>
      <c r="L51" s="70">
        <v>0</v>
      </c>
      <c r="M51" s="187">
        <v>0</v>
      </c>
      <c r="N51" s="70">
        <f>31110000</f>
        <v>31110000</v>
      </c>
      <c r="O51" s="71"/>
      <c r="P51" s="70"/>
      <c r="Q51" s="69"/>
      <c r="R51" s="70"/>
      <c r="S51" s="175">
        <f>K51+M51+O51+Q51</f>
        <v>0</v>
      </c>
      <c r="T51" s="72">
        <v>0</v>
      </c>
      <c r="U51" s="131">
        <v>0</v>
      </c>
      <c r="V51" s="132">
        <v>0</v>
      </c>
      <c r="W51" s="73"/>
      <c r="X51" s="74"/>
      <c r="Y51" s="75"/>
      <c r="Z51" s="75"/>
      <c r="AA51" s="76"/>
    </row>
    <row r="52" spans="1:27" s="77" customFormat="1" ht="67.5" customHeight="1" x14ac:dyDescent="0.25">
      <c r="A52" s="396"/>
      <c r="B52" s="420"/>
      <c r="C52" s="69" t="s">
        <v>83</v>
      </c>
      <c r="D52" s="69" t="s">
        <v>130</v>
      </c>
      <c r="E52" s="92">
        <v>5</v>
      </c>
      <c r="F52" s="67">
        <v>900000000</v>
      </c>
      <c r="G52" s="71">
        <v>1</v>
      </c>
      <c r="H52" s="68">
        <v>149339490</v>
      </c>
      <c r="I52" s="92">
        <v>1</v>
      </c>
      <c r="J52" s="68">
        <v>100000000</v>
      </c>
      <c r="K52" s="70">
        <v>0</v>
      </c>
      <c r="L52" s="70">
        <v>0</v>
      </c>
      <c r="M52" s="187">
        <v>0</v>
      </c>
      <c r="N52" s="70"/>
      <c r="O52" s="71"/>
      <c r="P52" s="70"/>
      <c r="Q52" s="69"/>
      <c r="R52" s="70"/>
      <c r="S52" s="175">
        <f t="shared" ref="S52:S57" si="5">K52+M52+O52+Q52</f>
        <v>0</v>
      </c>
      <c r="T52" s="72">
        <v>0</v>
      </c>
      <c r="U52" s="131">
        <v>0</v>
      </c>
      <c r="V52" s="132">
        <v>0</v>
      </c>
      <c r="W52" s="73"/>
      <c r="X52" s="74"/>
      <c r="Y52" s="75"/>
      <c r="Z52" s="75"/>
      <c r="AA52" s="76"/>
    </row>
    <row r="53" spans="1:27" s="77" customFormat="1" ht="69" customHeight="1" x14ac:dyDescent="0.25">
      <c r="A53" s="83" t="s">
        <v>155</v>
      </c>
      <c r="B53" s="93" t="s">
        <v>81</v>
      </c>
      <c r="C53" s="69" t="s">
        <v>84</v>
      </c>
      <c r="D53" s="69" t="s">
        <v>131</v>
      </c>
      <c r="E53" s="92">
        <v>12</v>
      </c>
      <c r="F53" s="67">
        <v>2377000000</v>
      </c>
      <c r="G53" s="71">
        <v>1</v>
      </c>
      <c r="H53" s="68"/>
      <c r="I53" s="92">
        <v>2</v>
      </c>
      <c r="J53" s="68">
        <v>526500000</v>
      </c>
      <c r="K53" s="70">
        <v>0</v>
      </c>
      <c r="L53" s="70">
        <v>25100000</v>
      </c>
      <c r="M53" s="187">
        <v>0</v>
      </c>
      <c r="N53" s="70">
        <f>363960000-L53</f>
        <v>338860000</v>
      </c>
      <c r="O53" s="71"/>
      <c r="P53" s="70"/>
      <c r="Q53" s="69"/>
      <c r="R53" s="70"/>
      <c r="S53" s="175">
        <f t="shared" si="5"/>
        <v>0</v>
      </c>
      <c r="T53" s="72">
        <v>0</v>
      </c>
      <c r="U53" s="131">
        <v>0</v>
      </c>
      <c r="V53" s="74">
        <v>0</v>
      </c>
      <c r="W53" s="73"/>
      <c r="X53" s="74"/>
      <c r="Y53" s="75"/>
      <c r="Z53" s="75"/>
      <c r="AA53" s="76"/>
    </row>
    <row r="54" spans="1:27" s="77" customFormat="1" ht="127.5" customHeight="1" x14ac:dyDescent="0.25">
      <c r="A54" s="83" t="s">
        <v>156</v>
      </c>
      <c r="B54" s="93" t="s">
        <v>13</v>
      </c>
      <c r="C54" s="65" t="s">
        <v>85</v>
      </c>
      <c r="D54" s="65" t="s">
        <v>128</v>
      </c>
      <c r="E54" s="92">
        <v>14</v>
      </c>
      <c r="F54" s="67">
        <v>1220000000</v>
      </c>
      <c r="G54" s="71">
        <v>1</v>
      </c>
      <c r="H54" s="68">
        <v>85565000</v>
      </c>
      <c r="I54" s="92">
        <v>2</v>
      </c>
      <c r="J54" s="68">
        <v>120000000</v>
      </c>
      <c r="K54" s="70">
        <v>0</v>
      </c>
      <c r="L54" s="70">
        <v>0</v>
      </c>
      <c r="M54" s="187">
        <v>0</v>
      </c>
      <c r="N54" s="70">
        <v>0</v>
      </c>
      <c r="O54" s="71"/>
      <c r="P54" s="70"/>
      <c r="Q54" s="69"/>
      <c r="R54" s="70"/>
      <c r="S54" s="175">
        <f t="shared" si="5"/>
        <v>0</v>
      </c>
      <c r="T54" s="72">
        <v>0</v>
      </c>
      <c r="U54" s="131">
        <v>0</v>
      </c>
      <c r="V54" s="132">
        <v>0</v>
      </c>
      <c r="W54" s="73"/>
      <c r="X54" s="74"/>
      <c r="Y54" s="75"/>
      <c r="Z54" s="75"/>
      <c r="AA54" s="76"/>
    </row>
    <row r="55" spans="1:27" s="77" customFormat="1" ht="127.5" customHeight="1" x14ac:dyDescent="0.25">
      <c r="A55" s="229" t="s">
        <v>208</v>
      </c>
      <c r="B55" s="230" t="s">
        <v>209</v>
      </c>
      <c r="C55" s="65"/>
      <c r="D55" s="65" t="s">
        <v>128</v>
      </c>
      <c r="E55" s="231">
        <v>1</v>
      </c>
      <c r="F55" s="231" t="s">
        <v>214</v>
      </c>
      <c r="G55" s="231" t="s">
        <v>214</v>
      </c>
      <c r="H55" s="231" t="s">
        <v>214</v>
      </c>
      <c r="I55" s="231">
        <v>1</v>
      </c>
      <c r="J55" s="232">
        <v>200000000</v>
      </c>
      <c r="K55" s="70">
        <v>0</v>
      </c>
      <c r="L55" s="70">
        <v>0</v>
      </c>
      <c r="M55" s="70">
        <v>0</v>
      </c>
      <c r="N55" s="70">
        <v>0</v>
      </c>
      <c r="O55" s="71"/>
      <c r="P55" s="70"/>
      <c r="Q55" s="69"/>
      <c r="R55" s="70"/>
      <c r="S55" s="175">
        <f t="shared" si="5"/>
        <v>0</v>
      </c>
      <c r="T55" s="72">
        <v>0</v>
      </c>
      <c r="U55" s="131">
        <v>0</v>
      </c>
      <c r="V55" s="132">
        <v>0</v>
      </c>
      <c r="W55" s="73"/>
      <c r="X55" s="74"/>
      <c r="Y55" s="75"/>
      <c r="Z55" s="75"/>
      <c r="AA55" s="76"/>
    </row>
    <row r="56" spans="1:27" s="77" customFormat="1" ht="127.5" customHeight="1" x14ac:dyDescent="0.25">
      <c r="A56" s="229" t="s">
        <v>210</v>
      </c>
      <c r="B56" s="230" t="s">
        <v>212</v>
      </c>
      <c r="C56" s="65"/>
      <c r="D56" s="65" t="s">
        <v>128</v>
      </c>
      <c r="E56" s="231">
        <v>1</v>
      </c>
      <c r="F56" s="231" t="s">
        <v>214</v>
      </c>
      <c r="G56" s="231" t="s">
        <v>214</v>
      </c>
      <c r="H56" s="231" t="s">
        <v>214</v>
      </c>
      <c r="I56" s="231">
        <v>1</v>
      </c>
      <c r="J56" s="232">
        <v>400000000</v>
      </c>
      <c r="K56" s="70">
        <v>0</v>
      </c>
      <c r="L56" s="70">
        <v>0</v>
      </c>
      <c r="M56" s="70">
        <v>0</v>
      </c>
      <c r="N56" s="70">
        <v>0</v>
      </c>
      <c r="O56" s="71"/>
      <c r="P56" s="70"/>
      <c r="Q56" s="69"/>
      <c r="R56" s="70"/>
      <c r="S56" s="175">
        <f t="shared" si="5"/>
        <v>0</v>
      </c>
      <c r="T56" s="72">
        <v>0</v>
      </c>
      <c r="U56" s="131">
        <v>0</v>
      </c>
      <c r="V56" s="132">
        <v>0</v>
      </c>
      <c r="W56" s="73"/>
      <c r="X56" s="74"/>
      <c r="Y56" s="75"/>
      <c r="Z56" s="75"/>
      <c r="AA56" s="76"/>
    </row>
    <row r="57" spans="1:27" s="77" customFormat="1" ht="127.5" customHeight="1" x14ac:dyDescent="0.25">
      <c r="A57" s="229" t="s">
        <v>211</v>
      </c>
      <c r="B57" s="230" t="s">
        <v>213</v>
      </c>
      <c r="C57" s="65"/>
      <c r="D57" s="65" t="s">
        <v>128</v>
      </c>
      <c r="E57" s="231">
        <v>1</v>
      </c>
      <c r="F57" s="231" t="s">
        <v>214</v>
      </c>
      <c r="G57" s="231" t="s">
        <v>214</v>
      </c>
      <c r="H57" s="231" t="s">
        <v>214</v>
      </c>
      <c r="I57" s="231">
        <v>1</v>
      </c>
      <c r="J57" s="232">
        <v>152170000</v>
      </c>
      <c r="K57" s="70">
        <v>0</v>
      </c>
      <c r="L57" s="70">
        <v>0</v>
      </c>
      <c r="M57" s="70">
        <v>0</v>
      </c>
      <c r="N57" s="70">
        <v>0</v>
      </c>
      <c r="O57" s="71"/>
      <c r="P57" s="70"/>
      <c r="Q57" s="69"/>
      <c r="R57" s="70"/>
      <c r="S57" s="175">
        <f t="shared" si="5"/>
        <v>0</v>
      </c>
      <c r="T57" s="72">
        <v>0</v>
      </c>
      <c r="U57" s="131">
        <v>0</v>
      </c>
      <c r="V57" s="132">
        <v>0</v>
      </c>
      <c r="W57" s="73"/>
      <c r="X57" s="74"/>
      <c r="Y57" s="75"/>
      <c r="Z57" s="75"/>
      <c r="AA57" s="76"/>
    </row>
    <row r="58" spans="1:27" s="77" customFormat="1" ht="42" customHeight="1" x14ac:dyDescent="0.25">
      <c r="A58" s="397" t="s">
        <v>157</v>
      </c>
      <c r="B58" s="378" t="s">
        <v>86</v>
      </c>
      <c r="C58" s="160" t="s">
        <v>87</v>
      </c>
      <c r="D58" s="161" t="s">
        <v>124</v>
      </c>
      <c r="E58" s="177">
        <v>60</v>
      </c>
      <c r="F58" s="421">
        <f>SUM(F62:F65)</f>
        <v>12487000000</v>
      </c>
      <c r="G58" s="177">
        <v>30</v>
      </c>
      <c r="H58" s="300">
        <f>SUM(H62:H65)</f>
        <v>1966563500</v>
      </c>
      <c r="I58" s="177">
        <v>40</v>
      </c>
      <c r="J58" s="300">
        <f>SUM(J62:J65)</f>
        <v>1930000000</v>
      </c>
      <c r="K58" s="176">
        <f>K62/I62*100</f>
        <v>0</v>
      </c>
      <c r="L58" s="290">
        <f>SUM(L62:L65)</f>
        <v>30000000</v>
      </c>
      <c r="M58" s="176">
        <v>0</v>
      </c>
      <c r="N58" s="290">
        <f>N62+N63+N64+N65</f>
        <v>211761000</v>
      </c>
      <c r="O58" s="130"/>
      <c r="P58" s="287"/>
      <c r="Q58" s="144"/>
      <c r="R58" s="287"/>
      <c r="S58" s="178">
        <f>K58+M58+O58+Q58</f>
        <v>0</v>
      </c>
      <c r="T58" s="243">
        <v>0</v>
      </c>
      <c r="U58" s="178">
        <v>0</v>
      </c>
      <c r="V58" s="240">
        <v>0</v>
      </c>
      <c r="W58" s="273" t="s">
        <v>196</v>
      </c>
      <c r="X58" s="274"/>
      <c r="Y58" s="75"/>
      <c r="Z58" s="75"/>
      <c r="AA58" s="76"/>
    </row>
    <row r="59" spans="1:27" s="77" customFormat="1" ht="48.75" customHeight="1" x14ac:dyDescent="0.25">
      <c r="A59" s="398"/>
      <c r="B59" s="379"/>
      <c r="C59" s="160" t="s">
        <v>88</v>
      </c>
      <c r="D59" s="161" t="s">
        <v>124</v>
      </c>
      <c r="E59" s="177">
        <v>85</v>
      </c>
      <c r="F59" s="301"/>
      <c r="G59" s="177">
        <v>60</v>
      </c>
      <c r="H59" s="301"/>
      <c r="I59" s="177">
        <v>65</v>
      </c>
      <c r="J59" s="301"/>
      <c r="K59" s="176">
        <v>0</v>
      </c>
      <c r="L59" s="288"/>
      <c r="M59" s="176">
        <v>65</v>
      </c>
      <c r="N59" s="288"/>
      <c r="O59" s="130"/>
      <c r="P59" s="288"/>
      <c r="Q59" s="144"/>
      <c r="R59" s="288"/>
      <c r="S59" s="178">
        <f t="shared" ref="S59:S65" si="6">K59+M59+O59+Q59</f>
        <v>65</v>
      </c>
      <c r="T59" s="244">
        <v>100</v>
      </c>
      <c r="U59" s="178">
        <v>65</v>
      </c>
      <c r="V59" s="241">
        <v>65</v>
      </c>
      <c r="W59" s="275"/>
      <c r="X59" s="276"/>
      <c r="Y59" s="75"/>
      <c r="Z59" s="75"/>
      <c r="AA59" s="76"/>
    </row>
    <row r="60" spans="1:27" s="77" customFormat="1" ht="40.5" customHeight="1" x14ac:dyDescent="0.25">
      <c r="A60" s="398"/>
      <c r="B60" s="379"/>
      <c r="C60" s="160" t="s">
        <v>89</v>
      </c>
      <c r="D60" s="161" t="s">
        <v>124</v>
      </c>
      <c r="E60" s="177">
        <v>3.5</v>
      </c>
      <c r="F60" s="301"/>
      <c r="G60" s="177">
        <v>2</v>
      </c>
      <c r="H60" s="301"/>
      <c r="I60" s="177">
        <v>2.5</v>
      </c>
      <c r="J60" s="301"/>
      <c r="K60" s="176">
        <f>K63/I63*100</f>
        <v>0</v>
      </c>
      <c r="L60" s="288"/>
      <c r="M60" s="176">
        <v>0</v>
      </c>
      <c r="N60" s="288"/>
      <c r="O60" s="130"/>
      <c r="P60" s="288"/>
      <c r="Q60" s="144"/>
      <c r="R60" s="288"/>
      <c r="S60" s="178">
        <f t="shared" si="6"/>
        <v>0</v>
      </c>
      <c r="T60" s="244">
        <v>0</v>
      </c>
      <c r="U60" s="178">
        <v>0</v>
      </c>
      <c r="V60" s="241">
        <v>0</v>
      </c>
      <c r="W60" s="275"/>
      <c r="X60" s="276"/>
      <c r="Y60" s="75"/>
      <c r="Z60" s="75"/>
      <c r="AA60" s="76"/>
    </row>
    <row r="61" spans="1:27" s="77" customFormat="1" ht="20.25" x14ac:dyDescent="0.25">
      <c r="A61" s="398"/>
      <c r="B61" s="379"/>
      <c r="C61" s="160" t="s">
        <v>90</v>
      </c>
      <c r="D61" s="161" t="s">
        <v>124</v>
      </c>
      <c r="E61" s="177">
        <v>28</v>
      </c>
      <c r="F61" s="301"/>
      <c r="G61" s="177">
        <v>18</v>
      </c>
      <c r="H61" s="301"/>
      <c r="I61" s="177">
        <v>20</v>
      </c>
      <c r="J61" s="301"/>
      <c r="K61" s="176">
        <f>K64/I64*100</f>
        <v>0</v>
      </c>
      <c r="L61" s="288"/>
      <c r="M61" s="176">
        <v>0</v>
      </c>
      <c r="N61" s="288"/>
      <c r="O61" s="130"/>
      <c r="P61" s="288"/>
      <c r="Q61" s="144"/>
      <c r="R61" s="288"/>
      <c r="S61" s="178">
        <f t="shared" si="6"/>
        <v>0</v>
      </c>
      <c r="T61" s="244">
        <v>0</v>
      </c>
      <c r="U61" s="178">
        <v>0</v>
      </c>
      <c r="V61" s="241">
        <v>0</v>
      </c>
      <c r="W61" s="275"/>
      <c r="X61" s="276"/>
      <c r="Y61" s="75"/>
      <c r="Z61" s="75"/>
      <c r="AA61" s="76"/>
    </row>
    <row r="62" spans="1:27" s="77" customFormat="1" ht="40.5" x14ac:dyDescent="0.25">
      <c r="A62" s="316" t="s">
        <v>158</v>
      </c>
      <c r="B62" s="422" t="s">
        <v>116</v>
      </c>
      <c r="C62" s="71" t="s">
        <v>105</v>
      </c>
      <c r="D62" s="71" t="s">
        <v>128</v>
      </c>
      <c r="E62" s="92">
        <v>9</v>
      </c>
      <c r="F62" s="67">
        <v>984000000</v>
      </c>
      <c r="G62" s="71">
        <v>0</v>
      </c>
      <c r="H62" s="68">
        <v>945903500</v>
      </c>
      <c r="I62" s="92">
        <v>3</v>
      </c>
      <c r="J62" s="68">
        <v>125875000</v>
      </c>
      <c r="K62" s="70">
        <v>0</v>
      </c>
      <c r="L62" s="70">
        <v>0</v>
      </c>
      <c r="M62" s="71">
        <v>3</v>
      </c>
      <c r="N62" s="70">
        <f>126465000-L63</f>
        <v>96465000</v>
      </c>
      <c r="O62" s="71"/>
      <c r="P62" s="70"/>
      <c r="Q62" s="69"/>
      <c r="R62" s="70"/>
      <c r="S62" s="69">
        <f t="shared" si="6"/>
        <v>3</v>
      </c>
      <c r="T62" s="72">
        <v>100</v>
      </c>
      <c r="U62" s="131">
        <v>3</v>
      </c>
      <c r="V62" s="132">
        <v>3</v>
      </c>
      <c r="W62" s="73"/>
      <c r="X62" s="74"/>
      <c r="Y62" s="75"/>
      <c r="Z62" s="75"/>
      <c r="AA62" s="76"/>
    </row>
    <row r="63" spans="1:27" s="77" customFormat="1" ht="45.75" customHeight="1" x14ac:dyDescent="0.25">
      <c r="A63" s="317"/>
      <c r="B63" s="423"/>
      <c r="C63" s="71" t="s">
        <v>106</v>
      </c>
      <c r="D63" s="71" t="s">
        <v>128</v>
      </c>
      <c r="E63" s="92">
        <v>8</v>
      </c>
      <c r="F63" s="67">
        <v>8523000000</v>
      </c>
      <c r="G63" s="71">
        <v>1</v>
      </c>
      <c r="H63" s="68">
        <v>829730000</v>
      </c>
      <c r="I63" s="92">
        <v>2</v>
      </c>
      <c r="J63" s="68">
        <f>1520000000-J62</f>
        <v>1394125000</v>
      </c>
      <c r="K63" s="70">
        <v>0</v>
      </c>
      <c r="L63" s="70">
        <v>30000000</v>
      </c>
      <c r="M63" s="187">
        <v>0</v>
      </c>
      <c r="N63" s="70">
        <v>0</v>
      </c>
      <c r="O63" s="71"/>
      <c r="P63" s="70"/>
      <c r="Q63" s="69"/>
      <c r="R63" s="70"/>
      <c r="S63" s="69">
        <f t="shared" si="6"/>
        <v>0</v>
      </c>
      <c r="T63" s="72">
        <v>0</v>
      </c>
      <c r="U63" s="131">
        <v>0</v>
      </c>
      <c r="V63" s="74">
        <v>0</v>
      </c>
      <c r="W63" s="73"/>
      <c r="X63" s="74"/>
      <c r="Y63" s="75"/>
      <c r="Z63" s="75"/>
      <c r="AA63" s="76"/>
    </row>
    <row r="64" spans="1:27" s="77" customFormat="1" ht="39" customHeight="1" x14ac:dyDescent="0.25">
      <c r="A64" s="83" t="s">
        <v>159</v>
      </c>
      <c r="B64" s="220" t="s">
        <v>201</v>
      </c>
      <c r="C64" s="71" t="s">
        <v>107</v>
      </c>
      <c r="D64" s="71" t="s">
        <v>128</v>
      </c>
      <c r="E64" s="92">
        <v>5</v>
      </c>
      <c r="F64" s="67">
        <v>990000000</v>
      </c>
      <c r="G64" s="71">
        <v>1</v>
      </c>
      <c r="H64" s="68">
        <v>74530000</v>
      </c>
      <c r="I64" s="92">
        <v>1</v>
      </c>
      <c r="J64" s="68">
        <v>220000000</v>
      </c>
      <c r="K64" s="70">
        <v>0</v>
      </c>
      <c r="L64" s="70">
        <v>0</v>
      </c>
      <c r="M64" s="187">
        <v>0</v>
      </c>
      <c r="N64" s="70">
        <f>66611000</f>
        <v>66611000</v>
      </c>
      <c r="O64" s="71"/>
      <c r="P64" s="70"/>
      <c r="Q64" s="69"/>
      <c r="R64" s="70"/>
      <c r="S64" s="69">
        <f t="shared" si="6"/>
        <v>0</v>
      </c>
      <c r="T64" s="72">
        <v>0</v>
      </c>
      <c r="U64" s="131">
        <v>0</v>
      </c>
      <c r="V64" s="132">
        <v>0</v>
      </c>
      <c r="W64" s="73"/>
      <c r="X64" s="74"/>
      <c r="Y64" s="75"/>
      <c r="Z64" s="75"/>
      <c r="AA64" s="76"/>
    </row>
    <row r="65" spans="1:27" s="77" customFormat="1" ht="83.25" customHeight="1" x14ac:dyDescent="0.25">
      <c r="A65" s="83" t="s">
        <v>160</v>
      </c>
      <c r="B65" s="237" t="s">
        <v>91</v>
      </c>
      <c r="C65" s="71" t="s">
        <v>108</v>
      </c>
      <c r="D65" s="71" t="s">
        <v>128</v>
      </c>
      <c r="E65" s="92">
        <v>8</v>
      </c>
      <c r="F65" s="67">
        <v>1990000000</v>
      </c>
      <c r="G65" s="71">
        <v>2</v>
      </c>
      <c r="H65" s="68">
        <v>116400000</v>
      </c>
      <c r="I65" s="92">
        <v>1</v>
      </c>
      <c r="J65" s="68">
        <v>190000000</v>
      </c>
      <c r="K65" s="70">
        <v>0</v>
      </c>
      <c r="L65" s="70">
        <v>0</v>
      </c>
      <c r="M65" s="187">
        <v>0</v>
      </c>
      <c r="N65" s="70">
        <f>48685000</f>
        <v>48685000</v>
      </c>
      <c r="O65" s="71"/>
      <c r="P65" s="70"/>
      <c r="Q65" s="69"/>
      <c r="R65" s="70"/>
      <c r="S65" s="69">
        <f t="shared" si="6"/>
        <v>0</v>
      </c>
      <c r="T65" s="72">
        <v>0</v>
      </c>
      <c r="U65" s="131">
        <v>0</v>
      </c>
      <c r="V65" s="132">
        <v>0</v>
      </c>
      <c r="W65" s="73"/>
      <c r="X65" s="74"/>
      <c r="Y65" s="75"/>
      <c r="Z65" s="75"/>
      <c r="AA65" s="76"/>
    </row>
    <row r="66" spans="1:27" s="186" customFormat="1" ht="20.25" x14ac:dyDescent="0.25">
      <c r="A66" s="399" t="s">
        <v>162</v>
      </c>
      <c r="B66" s="361" t="s">
        <v>92</v>
      </c>
      <c r="C66" s="227" t="s">
        <v>205</v>
      </c>
      <c r="D66" s="161" t="s">
        <v>124</v>
      </c>
      <c r="E66" s="177">
        <v>60</v>
      </c>
      <c r="F66" s="421">
        <f>SUM(F74:F78)</f>
        <v>27860000000</v>
      </c>
      <c r="G66" s="177">
        <v>4</v>
      </c>
      <c r="H66" s="300">
        <f>SUM(H74:H78)</f>
        <v>1596249000</v>
      </c>
      <c r="I66" s="228">
        <v>20</v>
      </c>
      <c r="J66" s="300">
        <f>SUM(J74:J78)</f>
        <v>1710000000</v>
      </c>
      <c r="K66" s="176">
        <f>K74/I74*100</f>
        <v>0</v>
      </c>
      <c r="L66" s="290">
        <f>SUM(L74:L78)</f>
        <v>198212000</v>
      </c>
      <c r="M66" s="176">
        <v>25</v>
      </c>
      <c r="N66" s="290">
        <f>N74+N75+N76+N77+N78</f>
        <v>928737000</v>
      </c>
      <c r="O66" s="130"/>
      <c r="P66" s="287"/>
      <c r="Q66" s="144"/>
      <c r="R66" s="287"/>
      <c r="S66" s="178">
        <f>K66+M66+O66+Q66</f>
        <v>25</v>
      </c>
      <c r="T66" s="243">
        <v>125</v>
      </c>
      <c r="U66" s="159">
        <v>25</v>
      </c>
      <c r="V66" s="240">
        <v>25</v>
      </c>
      <c r="W66" s="273" t="s">
        <v>197</v>
      </c>
      <c r="X66" s="274"/>
      <c r="Y66" s="184"/>
      <c r="Z66" s="184"/>
      <c r="AA66" s="185"/>
    </row>
    <row r="67" spans="1:27" s="186" customFormat="1" ht="47.25" customHeight="1" x14ac:dyDescent="0.25">
      <c r="A67" s="400"/>
      <c r="B67" s="362"/>
      <c r="C67" s="227" t="s">
        <v>93</v>
      </c>
      <c r="D67" s="161" t="s">
        <v>124</v>
      </c>
      <c r="E67" s="233">
        <v>90</v>
      </c>
      <c r="F67" s="301"/>
      <c r="G67" s="177">
        <v>40</v>
      </c>
      <c r="H67" s="301"/>
      <c r="I67" s="177">
        <v>50</v>
      </c>
      <c r="J67" s="301"/>
      <c r="K67" s="176">
        <f t="shared" ref="K67:K68" si="7">K75/I75*100</f>
        <v>0</v>
      </c>
      <c r="L67" s="288"/>
      <c r="M67" s="176">
        <v>0</v>
      </c>
      <c r="N67" s="288"/>
      <c r="O67" s="130"/>
      <c r="P67" s="288"/>
      <c r="Q67" s="144"/>
      <c r="R67" s="288"/>
      <c r="S67" s="178">
        <f t="shared" ref="S67:S81" si="8">K67+M67+O67+Q67</f>
        <v>0</v>
      </c>
      <c r="T67" s="244">
        <v>0</v>
      </c>
      <c r="U67" s="159">
        <v>0</v>
      </c>
      <c r="V67" s="241">
        <v>0</v>
      </c>
      <c r="W67" s="275"/>
      <c r="X67" s="276"/>
      <c r="Y67" s="184"/>
      <c r="Z67" s="184"/>
      <c r="AA67" s="185"/>
    </row>
    <row r="68" spans="1:27" s="186" customFormat="1" ht="32.25" customHeight="1" x14ac:dyDescent="0.25">
      <c r="A68" s="400"/>
      <c r="B68" s="362"/>
      <c r="C68" s="227" t="s">
        <v>206</v>
      </c>
      <c r="D68" s="161" t="s">
        <v>124</v>
      </c>
      <c r="E68" s="233">
        <v>70</v>
      </c>
      <c r="F68" s="301"/>
      <c r="G68" s="177">
        <v>10</v>
      </c>
      <c r="H68" s="301"/>
      <c r="I68" s="177">
        <v>30</v>
      </c>
      <c r="J68" s="301"/>
      <c r="K68" s="176">
        <f t="shared" si="7"/>
        <v>0</v>
      </c>
      <c r="L68" s="288"/>
      <c r="M68" s="176">
        <v>65</v>
      </c>
      <c r="N68" s="288"/>
      <c r="O68" s="130"/>
      <c r="P68" s="288"/>
      <c r="Q68" s="144"/>
      <c r="R68" s="288"/>
      <c r="S68" s="178">
        <f t="shared" si="8"/>
        <v>65</v>
      </c>
      <c r="T68" s="244">
        <v>216.66666666666666</v>
      </c>
      <c r="U68" s="159">
        <v>65</v>
      </c>
      <c r="V68" s="241">
        <v>65</v>
      </c>
      <c r="W68" s="275"/>
      <c r="X68" s="276"/>
      <c r="Y68" s="184"/>
      <c r="Z68" s="184"/>
      <c r="AA68" s="185"/>
    </row>
    <row r="69" spans="1:27" s="186" customFormat="1" ht="35.25" customHeight="1" x14ac:dyDescent="0.25">
      <c r="A69" s="400"/>
      <c r="B69" s="362"/>
      <c r="C69" s="227" t="s">
        <v>207</v>
      </c>
      <c r="D69" s="161" t="s">
        <v>124</v>
      </c>
      <c r="E69" s="177">
        <v>45</v>
      </c>
      <c r="F69" s="301"/>
      <c r="G69" s="177">
        <v>4</v>
      </c>
      <c r="H69" s="301"/>
      <c r="I69" s="228">
        <v>10</v>
      </c>
      <c r="J69" s="301"/>
      <c r="K69" s="176">
        <f>K77/I77*100</f>
        <v>0</v>
      </c>
      <c r="L69" s="288"/>
      <c r="M69" s="176">
        <v>0</v>
      </c>
      <c r="N69" s="288"/>
      <c r="O69" s="130"/>
      <c r="P69" s="288"/>
      <c r="Q69" s="144"/>
      <c r="R69" s="288"/>
      <c r="S69" s="178">
        <f t="shared" si="8"/>
        <v>0</v>
      </c>
      <c r="T69" s="244">
        <v>0</v>
      </c>
      <c r="U69" s="159">
        <v>0</v>
      </c>
      <c r="V69" s="241">
        <v>0</v>
      </c>
      <c r="W69" s="275"/>
      <c r="X69" s="276"/>
      <c r="Y69" s="184"/>
      <c r="Z69" s="184"/>
      <c r="AA69" s="185"/>
    </row>
    <row r="70" spans="1:27" s="186" customFormat="1" ht="35.25" customHeight="1" x14ac:dyDescent="0.25">
      <c r="A70" s="400"/>
      <c r="B70" s="362"/>
      <c r="C70" s="227" t="s">
        <v>94</v>
      </c>
      <c r="D70" s="161" t="s">
        <v>124</v>
      </c>
      <c r="E70" s="177">
        <v>40</v>
      </c>
      <c r="F70" s="301"/>
      <c r="G70" s="177">
        <v>16</v>
      </c>
      <c r="H70" s="301"/>
      <c r="I70" s="228">
        <v>20</v>
      </c>
      <c r="J70" s="301"/>
      <c r="K70" s="176"/>
      <c r="L70" s="288"/>
      <c r="M70" s="176"/>
      <c r="N70" s="288"/>
      <c r="O70" s="130"/>
      <c r="P70" s="288"/>
      <c r="Q70" s="144"/>
      <c r="R70" s="288"/>
      <c r="S70" s="178"/>
      <c r="T70" s="244"/>
      <c r="U70" s="159"/>
      <c r="V70" s="241"/>
      <c r="W70" s="275"/>
      <c r="X70" s="276"/>
      <c r="Y70" s="184"/>
      <c r="Z70" s="184"/>
      <c r="AA70" s="185"/>
    </row>
    <row r="71" spans="1:27" s="186" customFormat="1" ht="38.25" customHeight="1" x14ac:dyDescent="0.25">
      <c r="A71" s="401"/>
      <c r="B71" s="363"/>
      <c r="C71" s="227" t="s">
        <v>95</v>
      </c>
      <c r="D71" s="161" t="s">
        <v>124</v>
      </c>
      <c r="E71" s="177">
        <v>65</v>
      </c>
      <c r="F71" s="302"/>
      <c r="G71" s="177">
        <v>30</v>
      </c>
      <c r="H71" s="302"/>
      <c r="I71" s="177">
        <v>40</v>
      </c>
      <c r="J71" s="302"/>
      <c r="K71" s="176">
        <v>0</v>
      </c>
      <c r="L71" s="289"/>
      <c r="M71" s="176">
        <v>0</v>
      </c>
      <c r="N71" s="289"/>
      <c r="O71" s="130"/>
      <c r="P71" s="289"/>
      <c r="Q71" s="144"/>
      <c r="R71" s="289"/>
      <c r="S71" s="178">
        <f t="shared" si="8"/>
        <v>0</v>
      </c>
      <c r="T71" s="245">
        <v>0</v>
      </c>
      <c r="U71" s="159">
        <v>0</v>
      </c>
      <c r="V71" s="242">
        <v>0</v>
      </c>
      <c r="W71" s="277"/>
      <c r="X71" s="278"/>
      <c r="Y71" s="184"/>
      <c r="Z71" s="184"/>
      <c r="AA71" s="185"/>
    </row>
    <row r="72" spans="1:27" s="77" customFormat="1" ht="61.5" hidden="1" customHeight="1" x14ac:dyDescent="0.25">
      <c r="A72" s="83"/>
      <c r="B72" s="95" t="s">
        <v>161</v>
      </c>
      <c r="C72" s="71" t="s">
        <v>109</v>
      </c>
      <c r="D72" s="71"/>
      <c r="E72" s="92">
        <v>4</v>
      </c>
      <c r="F72" s="67">
        <v>400000000</v>
      </c>
      <c r="G72" s="71">
        <v>0</v>
      </c>
      <c r="H72" s="68"/>
      <c r="I72" s="92">
        <v>0</v>
      </c>
      <c r="J72" s="70">
        <v>0</v>
      </c>
      <c r="K72" s="70">
        <v>0</v>
      </c>
      <c r="L72" s="70">
        <v>0</v>
      </c>
      <c r="M72" s="71"/>
      <c r="N72" s="70"/>
      <c r="O72" s="71"/>
      <c r="P72" s="70"/>
      <c r="Q72" s="69"/>
      <c r="R72" s="70"/>
      <c r="S72" s="178">
        <f t="shared" si="8"/>
        <v>0</v>
      </c>
      <c r="T72" s="72" t="e">
        <v>#DIV/0!</v>
      </c>
      <c r="U72" s="159">
        <v>0</v>
      </c>
      <c r="V72" s="74">
        <v>0</v>
      </c>
      <c r="W72" s="73"/>
      <c r="X72" s="74"/>
      <c r="Y72" s="75"/>
      <c r="Z72" s="75"/>
      <c r="AA72" s="76"/>
    </row>
    <row r="73" spans="1:27" s="77" customFormat="1" ht="52.5" hidden="1" customHeight="1" x14ac:dyDescent="0.25">
      <c r="A73" s="83"/>
      <c r="B73" s="96"/>
      <c r="C73" s="71" t="s">
        <v>110</v>
      </c>
      <c r="D73" s="71"/>
      <c r="E73" s="92">
        <v>12</v>
      </c>
      <c r="F73" s="67">
        <v>1000000000</v>
      </c>
      <c r="G73" s="71">
        <v>0</v>
      </c>
      <c r="H73" s="68"/>
      <c r="I73" s="92">
        <v>0</v>
      </c>
      <c r="J73" s="70">
        <v>0</v>
      </c>
      <c r="K73" s="70">
        <v>0</v>
      </c>
      <c r="L73" s="70">
        <v>0</v>
      </c>
      <c r="M73" s="71"/>
      <c r="N73" s="70"/>
      <c r="O73" s="71"/>
      <c r="P73" s="70"/>
      <c r="Q73" s="69"/>
      <c r="R73" s="70"/>
      <c r="S73" s="178">
        <f t="shared" si="8"/>
        <v>0</v>
      </c>
      <c r="T73" s="72" t="e">
        <v>#DIV/0!</v>
      </c>
      <c r="U73" s="159">
        <v>0</v>
      </c>
      <c r="V73" s="74">
        <v>0</v>
      </c>
      <c r="W73" s="73"/>
      <c r="X73" s="74"/>
      <c r="Y73" s="75"/>
      <c r="Z73" s="75"/>
      <c r="AA73" s="76"/>
    </row>
    <row r="74" spans="1:27" s="77" customFormat="1" ht="40.5" x14ac:dyDescent="0.25">
      <c r="A74" s="97" t="s">
        <v>163</v>
      </c>
      <c r="B74" s="96" t="s">
        <v>164</v>
      </c>
      <c r="C74" s="71" t="s">
        <v>111</v>
      </c>
      <c r="D74" s="71" t="s">
        <v>128</v>
      </c>
      <c r="E74" s="92">
        <v>5</v>
      </c>
      <c r="F74" s="67">
        <v>6060000000</v>
      </c>
      <c r="G74" s="71">
        <v>0</v>
      </c>
      <c r="H74" s="98">
        <v>116682000</v>
      </c>
      <c r="I74" s="92">
        <v>1</v>
      </c>
      <c r="J74" s="68">
        <v>60000000</v>
      </c>
      <c r="K74" s="70">
        <v>0</v>
      </c>
      <c r="L74" s="70">
        <v>0</v>
      </c>
      <c r="M74" s="187">
        <v>0</v>
      </c>
      <c r="N74" s="70">
        <v>0</v>
      </c>
      <c r="O74" s="71"/>
      <c r="P74" s="70"/>
      <c r="Q74" s="69"/>
      <c r="R74" s="70"/>
      <c r="S74" s="187">
        <f t="shared" si="8"/>
        <v>0</v>
      </c>
      <c r="T74" s="149">
        <v>0</v>
      </c>
      <c r="U74" s="188">
        <v>0</v>
      </c>
      <c r="V74" s="151">
        <v>0</v>
      </c>
      <c r="W74" s="150"/>
      <c r="X74" s="141"/>
      <c r="Y74" s="75"/>
      <c r="Z74" s="75"/>
      <c r="AA74" s="76"/>
    </row>
    <row r="75" spans="1:27" s="77" customFormat="1" ht="72.75" customHeight="1" x14ac:dyDescent="0.25">
      <c r="A75" s="97" t="s">
        <v>165</v>
      </c>
      <c r="B75" s="99" t="s">
        <v>161</v>
      </c>
      <c r="C75" s="71" t="s">
        <v>112</v>
      </c>
      <c r="D75" s="71" t="s">
        <v>128</v>
      </c>
      <c r="E75" s="92">
        <v>13</v>
      </c>
      <c r="F75" s="67">
        <v>13600000000</v>
      </c>
      <c r="G75" s="71">
        <v>3</v>
      </c>
      <c r="H75" s="98">
        <v>602820000</v>
      </c>
      <c r="I75" s="92">
        <v>2</v>
      </c>
      <c r="J75" s="68">
        <v>600000000</v>
      </c>
      <c r="K75" s="70">
        <v>0</v>
      </c>
      <c r="L75" s="70">
        <v>0</v>
      </c>
      <c r="M75" s="187">
        <v>2</v>
      </c>
      <c r="N75" s="70">
        <v>600000000</v>
      </c>
      <c r="O75" s="71"/>
      <c r="P75" s="70"/>
      <c r="Q75" s="69"/>
      <c r="R75" s="70"/>
      <c r="S75" s="187">
        <f t="shared" si="8"/>
        <v>2</v>
      </c>
      <c r="T75" s="149">
        <v>100</v>
      </c>
      <c r="U75" s="188">
        <v>2</v>
      </c>
      <c r="V75" s="151">
        <v>2</v>
      </c>
      <c r="W75" s="150"/>
      <c r="X75" s="141"/>
      <c r="Y75" s="75"/>
      <c r="Z75" s="75"/>
      <c r="AA75" s="76"/>
    </row>
    <row r="76" spans="1:27" s="77" customFormat="1" ht="105" customHeight="1" x14ac:dyDescent="0.25">
      <c r="A76" s="316" t="s">
        <v>167</v>
      </c>
      <c r="B76" s="359" t="s">
        <v>166</v>
      </c>
      <c r="C76" s="71" t="s">
        <v>113</v>
      </c>
      <c r="D76" s="71" t="s">
        <v>128</v>
      </c>
      <c r="E76" s="92">
        <v>5</v>
      </c>
      <c r="F76" s="67">
        <v>1400000000</v>
      </c>
      <c r="G76" s="71">
        <v>1</v>
      </c>
      <c r="H76" s="68">
        <v>13190000</v>
      </c>
      <c r="I76" s="92">
        <v>1</v>
      </c>
      <c r="J76" s="68">
        <v>100000000</v>
      </c>
      <c r="K76" s="70">
        <v>0</v>
      </c>
      <c r="L76" s="70">
        <v>0</v>
      </c>
      <c r="M76" s="187">
        <v>0</v>
      </c>
      <c r="N76" s="70">
        <f>139780000/2</f>
        <v>69890000</v>
      </c>
      <c r="O76" s="71"/>
      <c r="P76" s="70"/>
      <c r="Q76" s="69"/>
      <c r="R76" s="70"/>
      <c r="S76" s="187">
        <f t="shared" si="8"/>
        <v>0</v>
      </c>
      <c r="T76" s="149">
        <v>0</v>
      </c>
      <c r="U76" s="188">
        <v>0</v>
      </c>
      <c r="V76" s="151">
        <v>0</v>
      </c>
      <c r="W76" s="150"/>
      <c r="X76" s="141"/>
      <c r="Y76" s="75"/>
      <c r="Z76" s="75"/>
      <c r="AA76" s="76"/>
    </row>
    <row r="77" spans="1:27" s="77" customFormat="1" ht="61.5" customHeight="1" x14ac:dyDescent="0.25">
      <c r="A77" s="317"/>
      <c r="B77" s="360"/>
      <c r="C77" s="71" t="s">
        <v>114</v>
      </c>
      <c r="D77" s="71" t="s">
        <v>128</v>
      </c>
      <c r="E77" s="92">
        <v>5</v>
      </c>
      <c r="F77" s="67">
        <v>1000000000</v>
      </c>
      <c r="G77" s="71">
        <v>1</v>
      </c>
      <c r="H77" s="68">
        <v>97480000</v>
      </c>
      <c r="I77" s="92">
        <v>1</v>
      </c>
      <c r="J77" s="68">
        <v>100000000</v>
      </c>
      <c r="K77" s="70">
        <v>0</v>
      </c>
      <c r="L77" s="70">
        <v>25720000</v>
      </c>
      <c r="M77" s="187">
        <v>0</v>
      </c>
      <c r="N77" s="70">
        <f>N76-L77</f>
        <v>44170000</v>
      </c>
      <c r="O77" s="71"/>
      <c r="P77" s="70"/>
      <c r="Q77" s="69"/>
      <c r="R77" s="70"/>
      <c r="S77" s="187">
        <f t="shared" si="8"/>
        <v>0</v>
      </c>
      <c r="T77" s="149">
        <v>0</v>
      </c>
      <c r="U77" s="188">
        <v>0</v>
      </c>
      <c r="V77" s="141">
        <v>0</v>
      </c>
      <c r="W77" s="150"/>
      <c r="X77" s="141"/>
      <c r="Y77" s="75"/>
      <c r="Z77" s="75"/>
      <c r="AA77" s="76"/>
    </row>
    <row r="78" spans="1:27" s="77" customFormat="1" ht="61.5" customHeight="1" x14ac:dyDescent="0.25">
      <c r="A78" s="316" t="s">
        <v>168</v>
      </c>
      <c r="B78" s="236"/>
      <c r="C78" s="71" t="s">
        <v>115</v>
      </c>
      <c r="D78" s="71" t="s">
        <v>126</v>
      </c>
      <c r="E78" s="92">
        <v>12</v>
      </c>
      <c r="F78" s="67">
        <v>5800000000</v>
      </c>
      <c r="G78" s="71">
        <v>8</v>
      </c>
      <c r="H78" s="68">
        <v>766077000</v>
      </c>
      <c r="I78" s="92">
        <v>12</v>
      </c>
      <c r="J78" s="68">
        <v>850000000</v>
      </c>
      <c r="K78" s="69">
        <v>12</v>
      </c>
      <c r="L78" s="70">
        <v>172492000</v>
      </c>
      <c r="M78" s="187">
        <v>12</v>
      </c>
      <c r="N78" s="70">
        <f>387169000-L78</f>
        <v>214677000</v>
      </c>
      <c r="O78" s="71"/>
      <c r="P78" s="70"/>
      <c r="Q78" s="69"/>
      <c r="R78" s="70"/>
      <c r="S78" s="187">
        <f t="shared" si="8"/>
        <v>24</v>
      </c>
      <c r="T78" s="149">
        <v>200</v>
      </c>
      <c r="U78" s="188">
        <v>24</v>
      </c>
      <c r="V78" s="141">
        <v>24</v>
      </c>
      <c r="W78" s="150"/>
      <c r="X78" s="141"/>
      <c r="Y78" s="75"/>
      <c r="Z78" s="75"/>
      <c r="AA78" s="76"/>
    </row>
    <row r="79" spans="1:27" s="77" customFormat="1" ht="1.5" hidden="1" customHeight="1" x14ac:dyDescent="0.25">
      <c r="A79" s="317"/>
      <c r="B79" s="100"/>
      <c r="C79" s="124" t="s">
        <v>96</v>
      </c>
      <c r="D79" s="124"/>
      <c r="E79" s="101"/>
      <c r="F79" s="102"/>
      <c r="G79" s="125">
        <v>0</v>
      </c>
      <c r="H79" s="98"/>
      <c r="I79" s="126">
        <v>0</v>
      </c>
      <c r="J79" s="98"/>
      <c r="K79" s="101"/>
      <c r="L79" s="103"/>
      <c r="M79" s="104"/>
      <c r="N79" s="103"/>
      <c r="O79" s="104"/>
      <c r="P79" s="103"/>
      <c r="Q79" s="101"/>
      <c r="R79" s="103"/>
      <c r="S79" s="69">
        <f t="shared" si="8"/>
        <v>0</v>
      </c>
      <c r="T79" s="105"/>
      <c r="U79" s="106"/>
      <c r="V79" s="107"/>
      <c r="W79" s="106"/>
      <c r="X79" s="107"/>
      <c r="Y79" s="75"/>
      <c r="Z79" s="75"/>
      <c r="AA79" s="76"/>
    </row>
    <row r="80" spans="1:27" s="77" customFormat="1" ht="40.5" hidden="1" x14ac:dyDescent="0.25">
      <c r="A80" s="83"/>
      <c r="B80" s="100"/>
      <c r="C80" s="124" t="s">
        <v>97</v>
      </c>
      <c r="D80" s="124"/>
      <c r="E80" s="101"/>
      <c r="F80" s="102"/>
      <c r="G80" s="125">
        <v>0</v>
      </c>
      <c r="H80" s="98"/>
      <c r="I80" s="126">
        <v>0</v>
      </c>
      <c r="J80" s="98"/>
      <c r="K80" s="101"/>
      <c r="L80" s="103"/>
      <c r="M80" s="104"/>
      <c r="N80" s="103"/>
      <c r="O80" s="104"/>
      <c r="P80" s="103"/>
      <c r="Q80" s="101"/>
      <c r="R80" s="103"/>
      <c r="S80" s="69">
        <f t="shared" si="8"/>
        <v>0</v>
      </c>
      <c r="T80" s="105"/>
      <c r="U80" s="106"/>
      <c r="V80" s="107"/>
      <c r="W80" s="106"/>
      <c r="X80" s="107"/>
      <c r="Y80" s="75"/>
      <c r="Z80" s="75"/>
      <c r="AA80" s="76"/>
    </row>
    <row r="81" spans="1:38" s="119" customFormat="1" ht="60.75" hidden="1" x14ac:dyDescent="0.25">
      <c r="A81" s="83" t="s">
        <v>14</v>
      </c>
      <c r="B81" s="108" t="s">
        <v>15</v>
      </c>
      <c r="C81" s="109" t="s">
        <v>16</v>
      </c>
      <c r="D81" s="109"/>
      <c r="E81" s="110" t="s">
        <v>17</v>
      </c>
      <c r="F81" s="111">
        <v>1073600000</v>
      </c>
      <c r="G81" s="112"/>
      <c r="H81" s="113"/>
      <c r="I81" s="113"/>
      <c r="J81" s="113"/>
      <c r="K81" s="114"/>
      <c r="L81" s="98"/>
      <c r="M81" s="85"/>
      <c r="N81" s="115"/>
      <c r="O81" s="101"/>
      <c r="P81" s="116"/>
      <c r="Q81" s="101"/>
      <c r="R81" s="116"/>
      <c r="S81" s="69">
        <f t="shared" si="8"/>
        <v>0</v>
      </c>
      <c r="T81" s="105"/>
      <c r="U81" s="106"/>
      <c r="V81" s="107"/>
      <c r="W81" s="101"/>
      <c r="X81" s="107"/>
      <c r="Y81" s="117"/>
      <c r="Z81" s="117"/>
      <c r="AA81" s="118"/>
    </row>
    <row r="82" spans="1:38" s="5" customFormat="1" ht="18" customHeight="1" x14ac:dyDescent="0.25">
      <c r="A82" s="10"/>
      <c r="B82" s="10"/>
      <c r="C82" s="10"/>
      <c r="D82" s="10"/>
      <c r="E82" s="10"/>
      <c r="F82" s="21"/>
      <c r="G82" s="21"/>
      <c r="H82" s="21"/>
      <c r="I82" s="21"/>
      <c r="J82" s="21"/>
      <c r="K82" s="10"/>
      <c r="L82" s="10"/>
      <c r="M82" s="27"/>
      <c r="N82" s="27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5" customFormat="1" ht="29.25" customHeight="1" x14ac:dyDescent="0.25">
      <c r="A83" s="10"/>
      <c r="B83" s="10"/>
      <c r="C83" s="10"/>
      <c r="D83" s="10"/>
      <c r="E83" s="10"/>
      <c r="F83" s="21"/>
      <c r="G83" s="21"/>
      <c r="H83" s="21"/>
      <c r="I83" s="21"/>
      <c r="J83" s="21"/>
      <c r="K83" s="10"/>
      <c r="M83" s="28"/>
      <c r="N83" s="28"/>
      <c r="O83" s="11"/>
      <c r="P83" s="11"/>
      <c r="Q83" s="11"/>
      <c r="R83" s="35"/>
      <c r="S83" s="36" t="s">
        <v>18</v>
      </c>
      <c r="T83" s="37"/>
      <c r="U83" s="37"/>
      <c r="V83" s="37"/>
      <c r="W83" s="39" t="s">
        <v>19</v>
      </c>
      <c r="X83" s="40"/>
      <c r="Y83" s="40"/>
      <c r="Z83" s="37"/>
      <c r="AA83" s="37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36" customHeight="1" x14ac:dyDescent="0.35">
      <c r="A84" s="9"/>
      <c r="B84" s="9"/>
      <c r="C84" s="9"/>
      <c r="D84" s="9"/>
      <c r="E84" s="12"/>
      <c r="F84" s="22"/>
      <c r="G84" s="23"/>
      <c r="H84" s="22"/>
      <c r="I84" s="22"/>
      <c r="J84" s="22"/>
      <c r="K84" s="9"/>
      <c r="M84" s="29"/>
      <c r="N84" s="29"/>
      <c r="O84" s="13"/>
      <c r="P84" s="13"/>
      <c r="Q84" s="13"/>
      <c r="R84" s="41"/>
      <c r="S84" s="36" t="s">
        <v>215</v>
      </c>
      <c r="T84" s="36"/>
      <c r="U84" s="42"/>
      <c r="V84" s="38"/>
      <c r="W84" s="39" t="s">
        <v>122</v>
      </c>
      <c r="X84" s="40"/>
      <c r="Y84" s="40"/>
      <c r="Z84" s="38"/>
      <c r="AA84" s="42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48" customHeight="1" x14ac:dyDescent="0.35">
      <c r="A85" s="9"/>
      <c r="B85" s="9"/>
      <c r="C85" s="9"/>
      <c r="D85" s="9"/>
      <c r="E85" s="12"/>
      <c r="F85" s="22"/>
      <c r="G85" s="23"/>
      <c r="H85" s="22"/>
      <c r="I85" s="22"/>
      <c r="J85" s="22"/>
      <c r="K85" s="9"/>
      <c r="M85" s="30"/>
      <c r="N85" s="30"/>
      <c r="O85" s="15"/>
      <c r="P85" s="15"/>
      <c r="Q85" s="15"/>
      <c r="R85" s="44"/>
      <c r="S85" s="45" t="s">
        <v>21</v>
      </c>
      <c r="T85" s="45"/>
      <c r="U85" s="42"/>
      <c r="V85" s="38"/>
      <c r="W85" s="46" t="s">
        <v>22</v>
      </c>
      <c r="X85" s="47"/>
      <c r="Y85" s="47"/>
      <c r="Z85" s="38"/>
      <c r="AA85" s="42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ht="47.25" customHeight="1" x14ac:dyDescent="0.35">
      <c r="A86" s="9"/>
      <c r="B86" s="9"/>
      <c r="C86" s="9"/>
      <c r="D86" s="9"/>
      <c r="E86" s="12"/>
      <c r="F86" s="22"/>
      <c r="G86" s="23"/>
      <c r="H86" s="22"/>
      <c r="I86" s="22"/>
      <c r="J86" s="22"/>
      <c r="K86" s="9"/>
      <c r="M86" s="30"/>
      <c r="N86" s="30"/>
      <c r="O86" s="15"/>
      <c r="P86" s="15"/>
      <c r="Q86" s="15"/>
      <c r="R86" s="44"/>
      <c r="S86" s="45" t="s">
        <v>20</v>
      </c>
      <c r="T86" s="45"/>
      <c r="U86" s="42"/>
      <c r="V86" s="38"/>
      <c r="W86" s="45" t="s">
        <v>20</v>
      </c>
      <c r="X86" s="44"/>
      <c r="Y86" s="44"/>
      <c r="Z86" s="38"/>
      <c r="AA86" s="42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18.75" customHeight="1" x14ac:dyDescent="0.35">
      <c r="A87" s="9"/>
      <c r="B87" s="9"/>
      <c r="C87" s="9"/>
      <c r="D87" s="9"/>
      <c r="E87" s="12"/>
      <c r="F87" s="22"/>
      <c r="G87" s="23"/>
      <c r="H87" s="22"/>
      <c r="I87" s="22"/>
      <c r="J87" s="22"/>
      <c r="K87" s="9"/>
      <c r="L87" s="221"/>
      <c r="M87" s="30"/>
      <c r="N87" s="30"/>
      <c r="O87" s="15"/>
      <c r="P87" s="15"/>
      <c r="Q87" s="15"/>
      <c r="R87" s="44"/>
      <c r="S87" s="45"/>
      <c r="T87" s="45"/>
      <c r="U87" s="42"/>
      <c r="V87" s="38"/>
      <c r="W87" s="45"/>
      <c r="X87" s="44"/>
      <c r="Y87" s="44"/>
      <c r="Z87" s="38"/>
      <c r="AA87" s="42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ht="18.75" customHeight="1" x14ac:dyDescent="0.35">
      <c r="A88" s="9"/>
      <c r="B88" s="9"/>
      <c r="C88" s="9"/>
      <c r="D88" s="9"/>
      <c r="E88" s="12"/>
      <c r="F88" s="22"/>
      <c r="G88" s="23"/>
      <c r="H88" s="22"/>
      <c r="I88" s="22"/>
      <c r="J88" s="22"/>
      <c r="K88" s="9"/>
      <c r="M88" s="30"/>
      <c r="N88" s="30"/>
      <c r="O88" s="15"/>
      <c r="P88" s="15"/>
      <c r="Q88" s="15"/>
      <c r="R88" s="44"/>
      <c r="S88" s="45"/>
      <c r="T88" s="45"/>
      <c r="U88" s="42"/>
      <c r="V88" s="38"/>
      <c r="W88" s="45"/>
      <c r="X88" s="44"/>
      <c r="Y88" s="44"/>
      <c r="Z88" s="38"/>
      <c r="AA88" s="42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ht="18.75" customHeight="1" x14ac:dyDescent="0.35">
      <c r="A89" s="9"/>
      <c r="B89" s="9"/>
      <c r="C89" s="9"/>
      <c r="D89" s="9"/>
      <c r="E89" s="12"/>
      <c r="F89" s="22"/>
      <c r="G89" s="23"/>
      <c r="H89" s="22"/>
      <c r="I89" s="22"/>
      <c r="J89" s="22"/>
      <c r="K89" s="9"/>
      <c r="M89" s="30"/>
      <c r="N89" s="30"/>
      <c r="O89" s="15"/>
      <c r="P89" s="15"/>
      <c r="Q89" s="15"/>
      <c r="R89" s="44"/>
      <c r="S89" s="45"/>
      <c r="T89" s="45"/>
      <c r="U89" s="42"/>
      <c r="V89" s="38"/>
      <c r="W89" s="45"/>
      <c r="X89" s="44"/>
      <c r="Y89" s="44"/>
      <c r="Z89" s="38"/>
      <c r="AA89" s="42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8.75" customHeight="1" x14ac:dyDescent="0.35">
      <c r="A90" s="9"/>
      <c r="B90" s="9"/>
      <c r="C90" s="9"/>
      <c r="D90" s="9"/>
      <c r="E90" s="12"/>
      <c r="F90" s="22"/>
      <c r="G90" s="23"/>
      <c r="H90" s="22"/>
      <c r="I90" s="22"/>
      <c r="J90" s="22"/>
      <c r="K90" s="9"/>
      <c r="M90" s="30"/>
      <c r="N90" s="30"/>
      <c r="O90" s="15"/>
      <c r="P90" s="15"/>
      <c r="Q90" s="15"/>
      <c r="R90" s="44"/>
      <c r="S90" s="45"/>
      <c r="T90" s="45"/>
      <c r="U90" s="42"/>
      <c r="V90" s="38"/>
      <c r="W90" s="45"/>
      <c r="X90" s="44"/>
      <c r="Y90" s="44"/>
      <c r="Z90" s="38"/>
      <c r="AA90" s="42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ht="18.75" customHeight="1" x14ac:dyDescent="0.35">
      <c r="A91" s="9"/>
      <c r="B91" s="9"/>
      <c r="C91" s="9"/>
      <c r="D91" s="9"/>
      <c r="E91" s="12"/>
      <c r="F91" s="22"/>
      <c r="G91" s="23"/>
      <c r="H91" s="22"/>
      <c r="I91" s="22"/>
      <c r="J91" s="22"/>
      <c r="K91" s="9"/>
      <c r="M91" s="30"/>
      <c r="N91" s="30"/>
      <c r="O91" s="15"/>
      <c r="P91" s="15"/>
      <c r="Q91" s="15"/>
      <c r="R91" s="44"/>
      <c r="S91" s="45"/>
      <c r="T91" s="45"/>
      <c r="U91" s="42"/>
      <c r="V91" s="38"/>
      <c r="W91" s="45"/>
      <c r="X91" s="44"/>
      <c r="Y91" s="44"/>
      <c r="Z91" s="38"/>
      <c r="AA91" s="42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ht="18.75" customHeight="1" x14ac:dyDescent="0.35">
      <c r="A92" s="9"/>
      <c r="B92" s="9"/>
      <c r="C92" s="9"/>
      <c r="D92" s="9"/>
      <c r="E92" s="12"/>
      <c r="F92" s="22"/>
      <c r="G92" s="23"/>
      <c r="H92" s="22"/>
      <c r="I92" s="22"/>
      <c r="J92" s="22"/>
      <c r="K92" s="9"/>
      <c r="M92" s="30"/>
      <c r="N92" s="30"/>
      <c r="O92" s="15"/>
      <c r="P92" s="15"/>
      <c r="Q92" s="15"/>
      <c r="R92" s="44"/>
      <c r="S92" s="45"/>
      <c r="T92" s="45"/>
      <c r="U92" s="42"/>
      <c r="V92" s="38"/>
      <c r="W92" s="45"/>
      <c r="X92" s="44"/>
      <c r="Y92" s="44"/>
      <c r="Z92" s="38"/>
      <c r="AA92" s="42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ht="18.75" customHeight="1" x14ac:dyDescent="0.35">
      <c r="A93" s="9"/>
      <c r="B93" s="9"/>
      <c r="C93" s="9"/>
      <c r="D93" s="9"/>
      <c r="E93" s="12"/>
      <c r="F93" s="22"/>
      <c r="G93" s="23"/>
      <c r="H93" s="22"/>
      <c r="I93" s="22"/>
      <c r="J93" s="22"/>
      <c r="K93" s="9"/>
      <c r="M93" s="30"/>
      <c r="N93" s="30"/>
      <c r="O93" s="15"/>
      <c r="P93" s="15"/>
      <c r="Q93" s="15"/>
      <c r="R93" s="44"/>
      <c r="S93" s="45"/>
      <c r="T93" s="45"/>
      <c r="U93" s="42"/>
      <c r="V93" s="38"/>
      <c r="W93" s="45"/>
      <c r="X93" s="44"/>
      <c r="Y93" s="44"/>
      <c r="Z93" s="38"/>
      <c r="AA93" s="42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ht="8.25" customHeight="1" x14ac:dyDescent="0.35">
      <c r="A94" s="9"/>
      <c r="B94" s="9"/>
      <c r="C94" s="9"/>
      <c r="D94" s="9"/>
      <c r="E94" s="12"/>
      <c r="F94" s="22"/>
      <c r="G94" s="23"/>
      <c r="H94" s="22"/>
      <c r="I94" s="22"/>
      <c r="J94" s="22"/>
      <c r="K94" s="9"/>
      <c r="M94" s="30"/>
      <c r="N94" s="30"/>
      <c r="O94" s="15"/>
      <c r="P94" s="15"/>
      <c r="Q94" s="15"/>
      <c r="R94" s="44"/>
      <c r="S94" s="45"/>
      <c r="T94" s="45"/>
      <c r="U94" s="42"/>
      <c r="V94" s="38"/>
      <c r="W94" s="45"/>
      <c r="X94" s="44"/>
      <c r="Y94" s="44"/>
      <c r="Z94" s="38"/>
      <c r="AA94" s="42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ht="18.75" hidden="1" customHeight="1" x14ac:dyDescent="0.35">
      <c r="A95" s="9"/>
      <c r="B95" s="9"/>
      <c r="C95" s="9"/>
      <c r="D95" s="9"/>
      <c r="E95" s="12"/>
      <c r="F95" s="22"/>
      <c r="G95" s="23"/>
      <c r="H95" s="22"/>
      <c r="I95" s="22"/>
      <c r="J95" s="22"/>
      <c r="K95" s="9"/>
      <c r="M95" s="30"/>
      <c r="N95" s="30"/>
      <c r="O95" s="15"/>
      <c r="P95" s="15"/>
      <c r="Q95" s="15"/>
      <c r="R95" s="44"/>
      <c r="S95" s="45"/>
      <c r="T95" s="45"/>
      <c r="U95" s="42"/>
      <c r="V95" s="38"/>
      <c r="W95" s="45"/>
      <c r="X95" s="44"/>
      <c r="Y95" s="44"/>
      <c r="Z95" s="38"/>
      <c r="AA95" s="42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ht="27" customHeight="1" x14ac:dyDescent="0.5">
      <c r="A96" s="14"/>
      <c r="B96" s="14"/>
      <c r="C96" s="14"/>
      <c r="D96" s="14"/>
      <c r="E96" s="16"/>
      <c r="F96" s="24"/>
      <c r="G96" s="25"/>
      <c r="H96" s="24"/>
      <c r="I96" s="24"/>
      <c r="J96" s="24"/>
      <c r="K96" s="14"/>
      <c r="M96" s="31"/>
      <c r="N96" s="31"/>
      <c r="O96" s="17"/>
      <c r="P96" s="17"/>
      <c r="Q96" s="17"/>
      <c r="R96" s="48"/>
      <c r="S96" s="49" t="s">
        <v>202</v>
      </c>
      <c r="T96" s="49"/>
      <c r="U96" s="50"/>
      <c r="V96" s="43"/>
      <c r="W96" s="51" t="s">
        <v>203</v>
      </c>
      <c r="X96" s="52"/>
      <c r="Y96" s="52"/>
      <c r="Z96" s="43"/>
      <c r="AA96" s="50"/>
    </row>
    <row r="97" spans="1:27" ht="30" customHeight="1" x14ac:dyDescent="0.5">
      <c r="A97" s="14"/>
      <c r="B97" s="14"/>
      <c r="C97" s="14"/>
      <c r="D97" s="14"/>
      <c r="E97" s="16"/>
      <c r="F97" s="24"/>
      <c r="G97" s="25"/>
      <c r="H97" s="24"/>
      <c r="I97" s="24"/>
      <c r="J97" s="24"/>
      <c r="K97" s="14"/>
      <c r="M97" s="32"/>
      <c r="N97" s="32"/>
      <c r="O97" s="18"/>
      <c r="P97" s="18"/>
      <c r="Q97" s="18"/>
      <c r="R97" s="53"/>
      <c r="S97" s="54" t="s">
        <v>200</v>
      </c>
      <c r="T97" s="54"/>
      <c r="U97" s="50"/>
      <c r="V97" s="43"/>
      <c r="W97" s="51" t="s">
        <v>204</v>
      </c>
      <c r="X97" s="52"/>
      <c r="Y97" s="52"/>
      <c r="Z97" s="43"/>
      <c r="AA97" s="50"/>
    </row>
    <row r="98" spans="1:27" x14ac:dyDescent="0.35">
      <c r="A98" s="14"/>
      <c r="B98" s="14"/>
      <c r="C98" s="14"/>
      <c r="D98" s="14"/>
      <c r="E98" s="16"/>
      <c r="F98" s="24"/>
      <c r="G98" s="25"/>
      <c r="H98" s="24"/>
      <c r="I98" s="24"/>
      <c r="J98" s="24"/>
      <c r="K98" s="14"/>
      <c r="L98" s="14"/>
      <c r="M98" s="33"/>
      <c r="N98" s="33"/>
      <c r="O98" s="14"/>
      <c r="P98" s="14"/>
      <c r="Q98" s="14"/>
      <c r="R98" s="14"/>
      <c r="S98" s="14"/>
      <c r="T98" s="14"/>
      <c r="U98" s="14"/>
      <c r="V98" s="14"/>
      <c r="Z98" s="14"/>
      <c r="AA98" s="14"/>
    </row>
    <row r="99" spans="1:27" x14ac:dyDescent="0.35">
      <c r="A99" s="14"/>
      <c r="B99" s="14"/>
      <c r="C99" s="14"/>
      <c r="D99" s="14"/>
      <c r="E99" s="16"/>
      <c r="F99" s="24"/>
      <c r="G99" s="25"/>
      <c r="H99" s="24"/>
      <c r="I99" s="24"/>
      <c r="J99" s="24"/>
      <c r="K99" s="14"/>
      <c r="L99" s="14"/>
      <c r="M99" s="33"/>
      <c r="N99" s="3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x14ac:dyDescent="0.35">
      <c r="A100" s="14"/>
      <c r="B100" s="14"/>
      <c r="C100" s="14"/>
      <c r="D100" s="14"/>
      <c r="E100" s="16"/>
      <c r="F100" s="24"/>
      <c r="G100" s="25"/>
      <c r="H100" s="24"/>
      <c r="I100" s="24"/>
      <c r="J100" s="24"/>
      <c r="K100" s="14"/>
      <c r="L100" s="14"/>
      <c r="M100" s="33"/>
      <c r="N100" s="3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x14ac:dyDescent="0.35">
      <c r="A101" s="14"/>
      <c r="B101" s="14"/>
      <c r="C101" s="14"/>
      <c r="D101" s="14"/>
      <c r="E101" s="16"/>
      <c r="F101" s="24"/>
      <c r="G101" s="25"/>
      <c r="H101" s="24"/>
      <c r="I101" s="24"/>
      <c r="J101" s="24"/>
      <c r="K101" s="14"/>
      <c r="L101" s="14"/>
      <c r="M101" s="33"/>
      <c r="N101" s="3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x14ac:dyDescent="0.35">
      <c r="A102" s="14"/>
      <c r="B102" s="14"/>
      <c r="C102" s="14"/>
      <c r="D102" s="14"/>
      <c r="E102" s="16"/>
      <c r="F102" s="24"/>
      <c r="G102" s="25"/>
      <c r="H102" s="24"/>
      <c r="I102" s="24"/>
      <c r="J102" s="24"/>
      <c r="K102" s="14"/>
      <c r="L102" s="14"/>
      <c r="M102" s="33"/>
      <c r="N102" s="33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x14ac:dyDescent="0.35">
      <c r="A103" s="14"/>
      <c r="B103" s="14"/>
      <c r="C103" s="14"/>
      <c r="D103" s="14"/>
      <c r="E103" s="16"/>
      <c r="F103" s="24"/>
      <c r="G103" s="25"/>
      <c r="H103" s="24"/>
      <c r="I103" s="24"/>
      <c r="J103" s="24"/>
      <c r="K103" s="14"/>
      <c r="L103" s="14"/>
      <c r="M103" s="33"/>
      <c r="N103" s="3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x14ac:dyDescent="0.35">
      <c r="A104" s="14"/>
      <c r="B104" s="14"/>
      <c r="C104" s="14"/>
      <c r="D104" s="14"/>
      <c r="E104" s="16"/>
      <c r="F104" s="24"/>
      <c r="G104" s="25"/>
      <c r="H104" s="24"/>
      <c r="I104" s="24"/>
      <c r="J104" s="24"/>
      <c r="K104" s="14"/>
      <c r="L104" s="14"/>
      <c r="M104" s="33"/>
      <c r="N104" s="33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x14ac:dyDescent="0.35">
      <c r="A105" s="14"/>
      <c r="B105" s="14"/>
      <c r="C105" s="14"/>
      <c r="D105" s="14"/>
      <c r="E105" s="16"/>
      <c r="F105" s="24"/>
      <c r="G105" s="25"/>
      <c r="H105" s="24"/>
      <c r="I105" s="24"/>
      <c r="J105" s="24"/>
      <c r="K105" s="14"/>
      <c r="L105" s="14"/>
      <c r="M105" s="33"/>
      <c r="N105" s="33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x14ac:dyDescent="0.35">
      <c r="M106" s="34"/>
      <c r="N106" s="34"/>
    </row>
    <row r="107" spans="1:27" x14ac:dyDescent="0.35">
      <c r="M107" s="34"/>
      <c r="N107" s="34"/>
    </row>
    <row r="108" spans="1:27" x14ac:dyDescent="0.35">
      <c r="M108" s="34"/>
      <c r="N108" s="34"/>
    </row>
    <row r="109" spans="1:27" x14ac:dyDescent="0.35">
      <c r="M109" s="34"/>
      <c r="N109" s="34"/>
    </row>
    <row r="110" spans="1:27" x14ac:dyDescent="0.35">
      <c r="M110" s="34"/>
      <c r="N110" s="34"/>
    </row>
    <row r="111" spans="1:27" x14ac:dyDescent="0.35">
      <c r="M111" s="34"/>
      <c r="N111" s="34"/>
    </row>
  </sheetData>
  <mergeCells count="112">
    <mergeCell ref="A1:Z3"/>
    <mergeCell ref="K5:L5"/>
    <mergeCell ref="M5:N5"/>
    <mergeCell ref="O5:P5"/>
    <mergeCell ref="Q5:R5"/>
    <mergeCell ref="W4:X5"/>
    <mergeCell ref="Y4:Y5"/>
    <mergeCell ref="S4:T4"/>
    <mergeCell ref="U4:V4"/>
    <mergeCell ref="C4:D4"/>
    <mergeCell ref="Z4:Z5"/>
    <mergeCell ref="A4:A5"/>
    <mergeCell ref="B4:B5"/>
    <mergeCell ref="E4:F5"/>
    <mergeCell ref="G4:H5"/>
    <mergeCell ref="I4:J5"/>
    <mergeCell ref="K4:R4"/>
    <mergeCell ref="W6:X9"/>
    <mergeCell ref="A10:A17"/>
    <mergeCell ref="B10:B17"/>
    <mergeCell ref="F11:F17"/>
    <mergeCell ref="H11:H17"/>
    <mergeCell ref="J11:J17"/>
    <mergeCell ref="L11:L17"/>
    <mergeCell ref="N11:N17"/>
    <mergeCell ref="P11:P17"/>
    <mergeCell ref="N6:N9"/>
    <mergeCell ref="P6:P9"/>
    <mergeCell ref="R6:R9"/>
    <mergeCell ref="A6:A9"/>
    <mergeCell ref="B6:B9"/>
    <mergeCell ref="F6:F9"/>
    <mergeCell ref="H6:H9"/>
    <mergeCell ref="J6:J9"/>
    <mergeCell ref="L6:L9"/>
    <mergeCell ref="R11:R17"/>
    <mergeCell ref="P28:P29"/>
    <mergeCell ref="R28:R29"/>
    <mergeCell ref="A28:A29"/>
    <mergeCell ref="B28:B29"/>
    <mergeCell ref="F28:F29"/>
    <mergeCell ref="H28:H29"/>
    <mergeCell ref="J28:J29"/>
    <mergeCell ref="L28:L29"/>
    <mergeCell ref="N28:N29"/>
    <mergeCell ref="L19:L23"/>
    <mergeCell ref="N19:N23"/>
    <mergeCell ref="P19:P23"/>
    <mergeCell ref="R19:R23"/>
    <mergeCell ref="A19:A23"/>
    <mergeCell ref="B19:B23"/>
    <mergeCell ref="F19:F23"/>
    <mergeCell ref="H19:H23"/>
    <mergeCell ref="J19:J23"/>
    <mergeCell ref="A32:A33"/>
    <mergeCell ref="B32:B33"/>
    <mergeCell ref="F32:F33"/>
    <mergeCell ref="H32:H33"/>
    <mergeCell ref="J32:J33"/>
    <mergeCell ref="L32:L33"/>
    <mergeCell ref="N32:N33"/>
    <mergeCell ref="P32:P33"/>
    <mergeCell ref="R32:R33"/>
    <mergeCell ref="R39:R41"/>
    <mergeCell ref="W39:X41"/>
    <mergeCell ref="A39:A41"/>
    <mergeCell ref="B39:B41"/>
    <mergeCell ref="F39:F41"/>
    <mergeCell ref="H39:H41"/>
    <mergeCell ref="J39:J41"/>
    <mergeCell ref="L39:L41"/>
    <mergeCell ref="N39:N41"/>
    <mergeCell ref="P39:P41"/>
    <mergeCell ref="W46:X50"/>
    <mergeCell ref="A51:A52"/>
    <mergeCell ref="B51:B52"/>
    <mergeCell ref="P46:P50"/>
    <mergeCell ref="R46:R50"/>
    <mergeCell ref="A42:A43"/>
    <mergeCell ref="B42:B43"/>
    <mergeCell ref="A46:A50"/>
    <mergeCell ref="B46:B50"/>
    <mergeCell ref="F46:F50"/>
    <mergeCell ref="H46:H50"/>
    <mergeCell ref="J46:J50"/>
    <mergeCell ref="L46:L50"/>
    <mergeCell ref="N46:N50"/>
    <mergeCell ref="W58:X61"/>
    <mergeCell ref="A62:A63"/>
    <mergeCell ref="B62:B63"/>
    <mergeCell ref="A58:A61"/>
    <mergeCell ref="B58:B61"/>
    <mergeCell ref="F58:F61"/>
    <mergeCell ref="H58:H61"/>
    <mergeCell ref="J58:J61"/>
    <mergeCell ref="L58:L61"/>
    <mergeCell ref="N58:N61"/>
    <mergeCell ref="P58:P61"/>
    <mergeCell ref="R58:R61"/>
    <mergeCell ref="A78:A79"/>
    <mergeCell ref="W66:X71"/>
    <mergeCell ref="A76:A77"/>
    <mergeCell ref="B76:B77"/>
    <mergeCell ref="A66:A71"/>
    <mergeCell ref="B66:B71"/>
    <mergeCell ref="F66:F71"/>
    <mergeCell ref="H66:H71"/>
    <mergeCell ref="J66:J71"/>
    <mergeCell ref="L66:L71"/>
    <mergeCell ref="N66:N71"/>
    <mergeCell ref="P66:P71"/>
    <mergeCell ref="R66:R7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TW 2</vt:lpstr>
      <vt:lpstr>TW 2 RENJA</vt:lpstr>
      <vt:lpstr>'TW 2'!Print_Area</vt:lpstr>
      <vt:lpstr>'TW 2 RENJA'!Print_Area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 8.1</dc:creator>
  <cp:lastModifiedBy>LENOVO-</cp:lastModifiedBy>
  <cp:lastPrinted>2019-07-29T02:33:59Z</cp:lastPrinted>
  <dcterms:created xsi:type="dcterms:W3CDTF">2017-01-05T19:49:22Z</dcterms:created>
  <dcterms:modified xsi:type="dcterms:W3CDTF">2019-08-22T07:59:49Z</dcterms:modified>
</cp:coreProperties>
</file>