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8720" windowHeight="7395"/>
  </bookViews>
  <sheets>
    <sheet name="Desember" sheetId="30" r:id="rId1"/>
    <sheet name="November" sheetId="29" r:id="rId2"/>
    <sheet name="Oktober" sheetId="27" r:id="rId3"/>
    <sheet name="September" sheetId="26" r:id="rId4"/>
    <sheet name="Agustus" sheetId="25" r:id="rId5"/>
    <sheet name="Juli" sheetId="24" r:id="rId6"/>
    <sheet name="Juni" sheetId="23" r:id="rId7"/>
    <sheet name="Mei" sheetId="20" r:id="rId8"/>
    <sheet name="April" sheetId="18" r:id="rId9"/>
    <sheet name="Maret" sheetId="17" r:id="rId10"/>
    <sheet name="Februari" sheetId="6" r:id="rId11"/>
    <sheet name="Januari" sheetId="4" r:id="rId12"/>
    <sheet name="Anggaran Kas" sheetId="11" r:id="rId13"/>
    <sheet name="Kec.Taktakan-Grfk" sheetId="9" r:id="rId14"/>
  </sheets>
  <definedNames>
    <definedName name="_xlnm.Print_Area" localSheetId="4">Agustus!$A$1:$N$83</definedName>
    <definedName name="_xlnm.Print_Area" localSheetId="8">April!$A$1:$L$71</definedName>
    <definedName name="_xlnm.Print_Area" localSheetId="0">Desember!$A$1:$N$83</definedName>
    <definedName name="_xlnm.Print_Area" localSheetId="10">Februari!$A$1:$L$71</definedName>
    <definedName name="_xlnm.Print_Area" localSheetId="11">Januari!$A$1:$L$71</definedName>
    <definedName name="_xlnm.Print_Area" localSheetId="5">Juli!$A$1:$N$83</definedName>
    <definedName name="_xlnm.Print_Area" localSheetId="6">Juni!$A$1:$L$75</definedName>
    <definedName name="_xlnm.Print_Area" localSheetId="13">'Kec.Taktakan-Grfk'!$A$1:$Q$42</definedName>
    <definedName name="_xlnm.Print_Area" localSheetId="9">Maret!$A$1:$L$71</definedName>
    <definedName name="_xlnm.Print_Area" localSheetId="7">Mei!$A$1:$L$75</definedName>
    <definedName name="_xlnm.Print_Area" localSheetId="1">November!$A$1:$N$83</definedName>
    <definedName name="_xlnm.Print_Area" localSheetId="2">Oktober!$A$1:$N$83</definedName>
    <definedName name="_xlnm.Print_Area" localSheetId="3">September!$A$1:$N$83</definedName>
  </definedNames>
  <calcPr calcId="124519"/>
</workbook>
</file>

<file path=xl/calcChain.xml><?xml version="1.0" encoding="utf-8"?>
<calcChain xmlns="http://schemas.openxmlformats.org/spreadsheetml/2006/main">
  <c r="C13" i="17"/>
  <c r="F42" i="9"/>
  <c r="G42"/>
  <c r="H42"/>
  <c r="I42"/>
  <c r="J42"/>
  <c r="K42"/>
  <c r="L42"/>
  <c r="M42"/>
  <c r="N42"/>
  <c r="O42"/>
  <c r="P42"/>
  <c r="F72" i="30"/>
  <c r="F71"/>
  <c r="F67"/>
  <c r="E67" s="1"/>
  <c r="D67" s="1"/>
  <c r="F66"/>
  <c r="F59"/>
  <c r="F58"/>
  <c r="F57"/>
  <c r="F48"/>
  <c r="F47"/>
  <c r="F46"/>
  <c r="J46" s="1"/>
  <c r="K46" s="1"/>
  <c r="F45"/>
  <c r="F44"/>
  <c r="F42"/>
  <c r="F41"/>
  <c r="F40"/>
  <c r="F37"/>
  <c r="F35"/>
  <c r="J35" s="1"/>
  <c r="K35" s="1"/>
  <c r="F34"/>
  <c r="F33"/>
  <c r="F32"/>
  <c r="F31"/>
  <c r="F30"/>
  <c r="F29"/>
  <c r="F28"/>
  <c r="F22"/>
  <c r="F19"/>
  <c r="F16"/>
  <c r="J16" s="1"/>
  <c r="K16" s="1"/>
  <c r="F15"/>
  <c r="F26"/>
  <c r="F24"/>
  <c r="F54"/>
  <c r="F51"/>
  <c r="H51" s="1"/>
  <c r="J72"/>
  <c r="K72" s="1"/>
  <c r="J71"/>
  <c r="K71" s="1"/>
  <c r="J70"/>
  <c r="K70" s="1"/>
  <c r="H70"/>
  <c r="E70"/>
  <c r="D70" s="1"/>
  <c r="F69"/>
  <c r="E69" s="1"/>
  <c r="D69" s="1"/>
  <c r="D68" s="1"/>
  <c r="C69"/>
  <c r="F68"/>
  <c r="C68"/>
  <c r="E66"/>
  <c r="D66" s="1"/>
  <c r="C65"/>
  <c r="C64"/>
  <c r="J63"/>
  <c r="K63" s="1"/>
  <c r="H63"/>
  <c r="G63" s="1"/>
  <c r="E63"/>
  <c r="J62"/>
  <c r="K62" s="1"/>
  <c r="H62"/>
  <c r="G62" s="1"/>
  <c r="E62"/>
  <c r="I62" s="1"/>
  <c r="J61"/>
  <c r="K61" s="1"/>
  <c r="H61"/>
  <c r="G61" s="1"/>
  <c r="E61"/>
  <c r="I61" s="1"/>
  <c r="F60"/>
  <c r="C60"/>
  <c r="J60" s="1"/>
  <c r="K60" s="1"/>
  <c r="E59"/>
  <c r="D59" s="1"/>
  <c r="E58"/>
  <c r="D58" s="1"/>
  <c r="E57"/>
  <c r="D57" s="1"/>
  <c r="F56"/>
  <c r="E56" s="1"/>
  <c r="C56"/>
  <c r="C55"/>
  <c r="E54"/>
  <c r="J53"/>
  <c r="K53" s="1"/>
  <c r="H53"/>
  <c r="E53"/>
  <c r="D53" s="1"/>
  <c r="F52"/>
  <c r="C52"/>
  <c r="J51"/>
  <c r="K51" s="1"/>
  <c r="E51"/>
  <c r="D51" s="1"/>
  <c r="D50" s="1"/>
  <c r="C50"/>
  <c r="C49" s="1"/>
  <c r="J48"/>
  <c r="K48" s="1"/>
  <c r="J47"/>
  <c r="K47" s="1"/>
  <c r="J45"/>
  <c r="K45" s="1"/>
  <c r="J44"/>
  <c r="K44" s="1"/>
  <c r="F43"/>
  <c r="H43" s="1"/>
  <c r="C43"/>
  <c r="E42"/>
  <c r="D42" s="1"/>
  <c r="E41"/>
  <c r="D41" s="1"/>
  <c r="E40"/>
  <c r="F39"/>
  <c r="C39"/>
  <c r="J38"/>
  <c r="K38" s="1"/>
  <c r="H38"/>
  <c r="E38"/>
  <c r="D38" s="1"/>
  <c r="E37"/>
  <c r="D37" s="1"/>
  <c r="F36"/>
  <c r="E36" s="1"/>
  <c r="D36" s="1"/>
  <c r="C36"/>
  <c r="J34"/>
  <c r="K34" s="1"/>
  <c r="J33"/>
  <c r="K33" s="1"/>
  <c r="J32"/>
  <c r="K32" s="1"/>
  <c r="J31"/>
  <c r="K31" s="1"/>
  <c r="J30"/>
  <c r="K30" s="1"/>
  <c r="J29"/>
  <c r="K29" s="1"/>
  <c r="J28"/>
  <c r="K28" s="1"/>
  <c r="C27"/>
  <c r="J26"/>
  <c r="K26" s="1"/>
  <c r="E26"/>
  <c r="D26" s="1"/>
  <c r="D25" s="1"/>
  <c r="F25"/>
  <c r="E25"/>
  <c r="C25"/>
  <c r="J25" s="1"/>
  <c r="K25" s="1"/>
  <c r="J24"/>
  <c r="K24" s="1"/>
  <c r="J23"/>
  <c r="K23" s="1"/>
  <c r="H23"/>
  <c r="E23"/>
  <c r="D23" s="1"/>
  <c r="J22"/>
  <c r="K22" s="1"/>
  <c r="E22"/>
  <c r="D22" s="1"/>
  <c r="F21"/>
  <c r="C21"/>
  <c r="J20"/>
  <c r="K20" s="1"/>
  <c r="H20"/>
  <c r="E20"/>
  <c r="D20" s="1"/>
  <c r="J19"/>
  <c r="K19" s="1"/>
  <c r="H19"/>
  <c r="G19" s="1"/>
  <c r="E19"/>
  <c r="D19" s="1"/>
  <c r="F18"/>
  <c r="J18" s="1"/>
  <c r="K18" s="1"/>
  <c r="J17"/>
  <c r="K17" s="1"/>
  <c r="H17"/>
  <c r="I17" s="1"/>
  <c r="E17"/>
  <c r="D17" s="1"/>
  <c r="H16"/>
  <c r="J15"/>
  <c r="K15" s="1"/>
  <c r="E15"/>
  <c r="D15" s="1"/>
  <c r="F14"/>
  <c r="H14" s="1"/>
  <c r="C14"/>
  <c r="C13"/>
  <c r="C12" s="1"/>
  <c r="C11" s="1"/>
  <c r="C10" s="1"/>
  <c r="F35" i="29"/>
  <c r="F34"/>
  <c r="F33"/>
  <c r="F32"/>
  <c r="J32" s="1"/>
  <c r="K32" s="1"/>
  <c r="F31"/>
  <c r="F30"/>
  <c r="J30" s="1"/>
  <c r="K30" s="1"/>
  <c r="F28"/>
  <c r="F66"/>
  <c r="F67"/>
  <c r="F29"/>
  <c r="F41"/>
  <c r="F40"/>
  <c r="F44"/>
  <c r="J66"/>
  <c r="K66" s="1"/>
  <c r="F58"/>
  <c r="E58" s="1"/>
  <c r="D58" s="1"/>
  <c r="F37"/>
  <c r="E37" s="1"/>
  <c r="D37" s="1"/>
  <c r="F46"/>
  <c r="J44"/>
  <c r="K44" s="1"/>
  <c r="F59"/>
  <c r="E59" s="1"/>
  <c r="D59" s="1"/>
  <c r="F45"/>
  <c r="F42"/>
  <c r="F48"/>
  <c r="F47"/>
  <c r="J34"/>
  <c r="K34" s="1"/>
  <c r="J29"/>
  <c r="K29" s="1"/>
  <c r="E44"/>
  <c r="D44" s="1"/>
  <c r="E41"/>
  <c r="D41" s="1"/>
  <c r="E33"/>
  <c r="D33" s="1"/>
  <c r="F26"/>
  <c r="F24"/>
  <c r="F15"/>
  <c r="F54"/>
  <c r="F22"/>
  <c r="J28"/>
  <c r="K28" s="1"/>
  <c r="J33"/>
  <c r="K33" s="1"/>
  <c r="F39"/>
  <c r="F71"/>
  <c r="J71" s="1"/>
  <c r="K71" s="1"/>
  <c r="F72"/>
  <c r="J72" s="1"/>
  <c r="K72" s="1"/>
  <c r="J70"/>
  <c r="K70" s="1"/>
  <c r="H70"/>
  <c r="E70"/>
  <c r="D70" s="1"/>
  <c r="C69"/>
  <c r="J67"/>
  <c r="K67" s="1"/>
  <c r="E67"/>
  <c r="D67" s="1"/>
  <c r="E66"/>
  <c r="D66" s="1"/>
  <c r="C65"/>
  <c r="J63"/>
  <c r="K63" s="1"/>
  <c r="H63"/>
  <c r="G63" s="1"/>
  <c r="E63"/>
  <c r="I63" s="1"/>
  <c r="J62"/>
  <c r="K62" s="1"/>
  <c r="H62"/>
  <c r="G62" s="1"/>
  <c r="E62"/>
  <c r="I62" s="1"/>
  <c r="J61"/>
  <c r="K61" s="1"/>
  <c r="H61"/>
  <c r="G61" s="1"/>
  <c r="E61"/>
  <c r="I61" s="1"/>
  <c r="F60"/>
  <c r="C60"/>
  <c r="J59"/>
  <c r="K59" s="1"/>
  <c r="J58"/>
  <c r="K58" s="1"/>
  <c r="F57"/>
  <c r="J57" s="1"/>
  <c r="K57" s="1"/>
  <c r="E57"/>
  <c r="D57" s="1"/>
  <c r="F56"/>
  <c r="C56"/>
  <c r="C55" s="1"/>
  <c r="E54"/>
  <c r="J53"/>
  <c r="K53" s="1"/>
  <c r="H53"/>
  <c r="E53"/>
  <c r="D53" s="1"/>
  <c r="F52"/>
  <c r="C52"/>
  <c r="J51"/>
  <c r="K51" s="1"/>
  <c r="H51"/>
  <c r="E51"/>
  <c r="D51" s="1"/>
  <c r="D50" s="1"/>
  <c r="F50"/>
  <c r="E50"/>
  <c r="E49" s="1"/>
  <c r="C50"/>
  <c r="J50" s="1"/>
  <c r="K50" s="1"/>
  <c r="F49"/>
  <c r="J48"/>
  <c r="K48" s="1"/>
  <c r="E48"/>
  <c r="D48" s="1"/>
  <c r="J47"/>
  <c r="K47" s="1"/>
  <c r="E47"/>
  <c r="D47" s="1"/>
  <c r="J46"/>
  <c r="K46" s="1"/>
  <c r="E46"/>
  <c r="D46" s="1"/>
  <c r="J45"/>
  <c r="K45" s="1"/>
  <c r="E45"/>
  <c r="D45" s="1"/>
  <c r="C43"/>
  <c r="E42"/>
  <c r="D42" s="1"/>
  <c r="E40"/>
  <c r="C39"/>
  <c r="K38"/>
  <c r="J38"/>
  <c r="H38"/>
  <c r="G38"/>
  <c r="E38"/>
  <c r="I38" s="1"/>
  <c r="D38"/>
  <c r="F36"/>
  <c r="C36"/>
  <c r="J35"/>
  <c r="K35" s="1"/>
  <c r="E35"/>
  <c r="D35" s="1"/>
  <c r="E34"/>
  <c r="D34" s="1"/>
  <c r="J31"/>
  <c r="K31" s="1"/>
  <c r="C27"/>
  <c r="J26"/>
  <c r="K26" s="1"/>
  <c r="E26"/>
  <c r="D26" s="1"/>
  <c r="D25" s="1"/>
  <c r="F25"/>
  <c r="E25"/>
  <c r="C25"/>
  <c r="J25" s="1"/>
  <c r="K25" s="1"/>
  <c r="J24"/>
  <c r="K24" s="1"/>
  <c r="J23"/>
  <c r="K23" s="1"/>
  <c r="H23"/>
  <c r="E23"/>
  <c r="D23" s="1"/>
  <c r="J22"/>
  <c r="K22" s="1"/>
  <c r="E22"/>
  <c r="D22" s="1"/>
  <c r="C21"/>
  <c r="J20"/>
  <c r="K20" s="1"/>
  <c r="H20"/>
  <c r="E20"/>
  <c r="D20" s="1"/>
  <c r="J19"/>
  <c r="K19" s="1"/>
  <c r="H19"/>
  <c r="I19" s="1"/>
  <c r="E19"/>
  <c r="D19" s="1"/>
  <c r="F18"/>
  <c r="J18" s="1"/>
  <c r="K18" s="1"/>
  <c r="J17"/>
  <c r="K17" s="1"/>
  <c r="H17"/>
  <c r="I17" s="1"/>
  <c r="E17"/>
  <c r="D17" s="1"/>
  <c r="K16"/>
  <c r="J16"/>
  <c r="I16"/>
  <c r="H16"/>
  <c r="G16"/>
  <c r="E16"/>
  <c r="D16"/>
  <c r="J15"/>
  <c r="K15" s="1"/>
  <c r="F14"/>
  <c r="J14" s="1"/>
  <c r="K14" s="1"/>
  <c r="C14"/>
  <c r="C13"/>
  <c r="G19" l="1"/>
  <c r="I20"/>
  <c r="I23"/>
  <c r="E36"/>
  <c r="D36" s="1"/>
  <c r="H52"/>
  <c r="I53"/>
  <c r="J60"/>
  <c r="K60" s="1"/>
  <c r="J39"/>
  <c r="K39" s="1"/>
  <c r="H21" i="30"/>
  <c r="I63"/>
  <c r="H25" i="29"/>
  <c r="H50"/>
  <c r="I51"/>
  <c r="E56"/>
  <c r="D61"/>
  <c r="D60" s="1"/>
  <c r="E60" s="1"/>
  <c r="D63"/>
  <c r="H25" i="30"/>
  <c r="J39"/>
  <c r="K39" s="1"/>
  <c r="E50"/>
  <c r="E49" s="1"/>
  <c r="H52"/>
  <c r="I53"/>
  <c r="D62"/>
  <c r="I70"/>
  <c r="I51"/>
  <c r="J68"/>
  <c r="K68" s="1"/>
  <c r="J69"/>
  <c r="K69" s="1"/>
  <c r="F65"/>
  <c r="E65" s="1"/>
  <c r="D65" s="1"/>
  <c r="D64" s="1"/>
  <c r="J43"/>
  <c r="K43" s="1"/>
  <c r="F27"/>
  <c r="J27" s="1"/>
  <c r="K27" s="1"/>
  <c r="I23"/>
  <c r="I19"/>
  <c r="I20"/>
  <c r="E16"/>
  <c r="D16" s="1"/>
  <c r="I38"/>
  <c r="G38"/>
  <c r="J36"/>
  <c r="K36" s="1"/>
  <c r="J14"/>
  <c r="K14" s="1"/>
  <c r="J21"/>
  <c r="K21" s="1"/>
  <c r="J52"/>
  <c r="K52" s="1"/>
  <c r="F50"/>
  <c r="J50" s="1"/>
  <c r="K50" s="1"/>
  <c r="G14"/>
  <c r="I25"/>
  <c r="G25"/>
  <c r="D56"/>
  <c r="D55" s="1"/>
  <c r="E55"/>
  <c r="G21"/>
  <c r="E39"/>
  <c r="D40"/>
  <c r="D39" s="1"/>
  <c r="G43"/>
  <c r="G52"/>
  <c r="D54"/>
  <c r="E52"/>
  <c r="D52" s="1"/>
  <c r="D49" s="1"/>
  <c r="E64"/>
  <c r="E14"/>
  <c r="D14" s="1"/>
  <c r="G17"/>
  <c r="E18"/>
  <c r="D18" s="1"/>
  <c r="G20"/>
  <c r="H22"/>
  <c r="G23"/>
  <c r="E24"/>
  <c r="H26"/>
  <c r="E28"/>
  <c r="D28" s="1"/>
  <c r="E29"/>
  <c r="D29" s="1"/>
  <c r="E30"/>
  <c r="D30" s="1"/>
  <c r="E31"/>
  <c r="D31" s="1"/>
  <c r="E32"/>
  <c r="D32" s="1"/>
  <c r="E33"/>
  <c r="D33" s="1"/>
  <c r="E34"/>
  <c r="D34" s="1"/>
  <c r="E35"/>
  <c r="D35" s="1"/>
  <c r="H36"/>
  <c r="H37"/>
  <c r="J37"/>
  <c r="K37" s="1"/>
  <c r="H39"/>
  <c r="H40"/>
  <c r="J40"/>
  <c r="K40" s="1"/>
  <c r="H41"/>
  <c r="J41"/>
  <c r="K41" s="1"/>
  <c r="H42"/>
  <c r="J42"/>
  <c r="K42" s="1"/>
  <c r="E43"/>
  <c r="D43" s="1"/>
  <c r="E44"/>
  <c r="D44" s="1"/>
  <c r="E45"/>
  <c r="D45" s="1"/>
  <c r="E46"/>
  <c r="D46" s="1"/>
  <c r="E47"/>
  <c r="D47" s="1"/>
  <c r="E48"/>
  <c r="D48" s="1"/>
  <c r="H54"/>
  <c r="J54"/>
  <c r="K54" s="1"/>
  <c r="H56"/>
  <c r="J56"/>
  <c r="K56" s="1"/>
  <c r="H57"/>
  <c r="J57"/>
  <c r="K57" s="1"/>
  <c r="H58"/>
  <c r="J58"/>
  <c r="K58" s="1"/>
  <c r="H59"/>
  <c r="J59"/>
  <c r="K59" s="1"/>
  <c r="G60"/>
  <c r="H60" s="1"/>
  <c r="I60" s="1"/>
  <c r="H65"/>
  <c r="J65"/>
  <c r="H66"/>
  <c r="J66"/>
  <c r="K66" s="1"/>
  <c r="H67"/>
  <c r="J67"/>
  <c r="K67" s="1"/>
  <c r="E68"/>
  <c r="H69"/>
  <c r="G70"/>
  <c r="E71"/>
  <c r="D71" s="1"/>
  <c r="E72"/>
  <c r="D72" s="1"/>
  <c r="H15"/>
  <c r="G16"/>
  <c r="H18"/>
  <c r="H24"/>
  <c r="H27"/>
  <c r="H28"/>
  <c r="H29"/>
  <c r="H30"/>
  <c r="H31"/>
  <c r="H32"/>
  <c r="H33"/>
  <c r="H34"/>
  <c r="H35"/>
  <c r="H44"/>
  <c r="H45"/>
  <c r="H46"/>
  <c r="H47"/>
  <c r="H48"/>
  <c r="G51"/>
  <c r="G50" s="1"/>
  <c r="G49" s="1"/>
  <c r="G53"/>
  <c r="F55"/>
  <c r="D61"/>
  <c r="D60" s="1"/>
  <c r="E60" s="1"/>
  <c r="D63"/>
  <c r="F64"/>
  <c r="H71"/>
  <c r="H72"/>
  <c r="F27" i="29"/>
  <c r="J27" s="1"/>
  <c r="K27" s="1"/>
  <c r="F65"/>
  <c r="E65" s="1"/>
  <c r="D65" s="1"/>
  <c r="D64" s="1"/>
  <c r="F55"/>
  <c r="H55" s="1"/>
  <c r="J56"/>
  <c r="K56" s="1"/>
  <c r="J52"/>
  <c r="K52" s="1"/>
  <c r="F43"/>
  <c r="H43" s="1"/>
  <c r="I70"/>
  <c r="I25"/>
  <c r="G25"/>
  <c r="E39"/>
  <c r="D40"/>
  <c r="D39" s="1"/>
  <c r="G43"/>
  <c r="I50"/>
  <c r="H49"/>
  <c r="I49" s="1"/>
  <c r="G52"/>
  <c r="D54"/>
  <c r="E52"/>
  <c r="D52" s="1"/>
  <c r="D49" s="1"/>
  <c r="D56"/>
  <c r="D55" s="1"/>
  <c r="E55"/>
  <c r="I55" s="1"/>
  <c r="H15"/>
  <c r="E14"/>
  <c r="D14" s="1"/>
  <c r="E15"/>
  <c r="D15" s="1"/>
  <c r="G17"/>
  <c r="E18"/>
  <c r="D18" s="1"/>
  <c r="G20"/>
  <c r="F21"/>
  <c r="H21" s="1"/>
  <c r="H22"/>
  <c r="G23"/>
  <c r="E24"/>
  <c r="H26"/>
  <c r="E27"/>
  <c r="D27" s="1"/>
  <c r="E28"/>
  <c r="D28" s="1"/>
  <c r="E29"/>
  <c r="D29" s="1"/>
  <c r="E30"/>
  <c r="D30" s="1"/>
  <c r="E31"/>
  <c r="D31" s="1"/>
  <c r="E32"/>
  <c r="D32" s="1"/>
  <c r="H36"/>
  <c r="J36"/>
  <c r="K36" s="1"/>
  <c r="H37"/>
  <c r="J37"/>
  <c r="K37" s="1"/>
  <c r="H39"/>
  <c r="H40"/>
  <c r="J40"/>
  <c r="K40" s="1"/>
  <c r="H41"/>
  <c r="J41"/>
  <c r="K41" s="1"/>
  <c r="H42"/>
  <c r="J42"/>
  <c r="K42" s="1"/>
  <c r="H54"/>
  <c r="J54"/>
  <c r="K54" s="1"/>
  <c r="G55"/>
  <c r="H56"/>
  <c r="H57"/>
  <c r="H58"/>
  <c r="H59"/>
  <c r="G60"/>
  <c r="H60" s="1"/>
  <c r="I60" s="1"/>
  <c r="D62"/>
  <c r="C64"/>
  <c r="H66"/>
  <c r="H67"/>
  <c r="C68"/>
  <c r="F69"/>
  <c r="G70"/>
  <c r="E71"/>
  <c r="D71" s="1"/>
  <c r="E72"/>
  <c r="D72" s="1"/>
  <c r="H14"/>
  <c r="H18"/>
  <c r="H24"/>
  <c r="H27"/>
  <c r="H28"/>
  <c r="H29"/>
  <c r="H30"/>
  <c r="H31"/>
  <c r="H32"/>
  <c r="H33"/>
  <c r="H34"/>
  <c r="H35"/>
  <c r="H44"/>
  <c r="H45"/>
  <c r="H46"/>
  <c r="H47"/>
  <c r="H48"/>
  <c r="C49"/>
  <c r="J49" s="1"/>
  <c r="K49" s="1"/>
  <c r="G51"/>
  <c r="G50" s="1"/>
  <c r="G49" s="1"/>
  <c r="G53"/>
  <c r="H71"/>
  <c r="H72"/>
  <c r="E27" i="30" l="1"/>
  <c r="D27" s="1"/>
  <c r="F13"/>
  <c r="J13" s="1"/>
  <c r="K13" s="1"/>
  <c r="I16"/>
  <c r="H50"/>
  <c r="F49"/>
  <c r="J49" s="1"/>
  <c r="K49" s="1"/>
  <c r="I72"/>
  <c r="G72"/>
  <c r="I48"/>
  <c r="G48"/>
  <c r="I46"/>
  <c r="G46"/>
  <c r="I44"/>
  <c r="G44"/>
  <c r="I34"/>
  <c r="G34"/>
  <c r="I32"/>
  <c r="G32"/>
  <c r="I30"/>
  <c r="G30"/>
  <c r="I28"/>
  <c r="G28"/>
  <c r="I24"/>
  <c r="G24"/>
  <c r="I67"/>
  <c r="G67"/>
  <c r="I66"/>
  <c r="G66"/>
  <c r="I65"/>
  <c r="I64" s="1"/>
  <c r="G65"/>
  <c r="G64" s="1"/>
  <c r="H64"/>
  <c r="I39"/>
  <c r="G39"/>
  <c r="I37"/>
  <c r="G37"/>
  <c r="D24"/>
  <c r="D21" s="1"/>
  <c r="E21"/>
  <c r="I21" s="1"/>
  <c r="I22"/>
  <c r="G22"/>
  <c r="I52"/>
  <c r="I43"/>
  <c r="I14"/>
  <c r="I71"/>
  <c r="G71"/>
  <c r="H55"/>
  <c r="I55" s="1"/>
  <c r="G55"/>
  <c r="I47"/>
  <c r="G47"/>
  <c r="I45"/>
  <c r="G45"/>
  <c r="I35"/>
  <c r="G35"/>
  <c r="I33"/>
  <c r="G33"/>
  <c r="I31"/>
  <c r="G31"/>
  <c r="I29"/>
  <c r="G29"/>
  <c r="G27"/>
  <c r="I18"/>
  <c r="G18"/>
  <c r="I15"/>
  <c r="G15"/>
  <c r="I69"/>
  <c r="G69"/>
  <c r="G68" s="1"/>
  <c r="H68"/>
  <c r="I68" s="1"/>
  <c r="K65"/>
  <c r="K64" s="1"/>
  <c r="J64"/>
  <c r="I59"/>
  <c r="G59"/>
  <c r="I58"/>
  <c r="G58"/>
  <c r="I57"/>
  <c r="G57"/>
  <c r="I56"/>
  <c r="G56"/>
  <c r="I54"/>
  <c r="G54"/>
  <c r="I42"/>
  <c r="G42"/>
  <c r="I41"/>
  <c r="G41"/>
  <c r="I40"/>
  <c r="G40"/>
  <c r="I36"/>
  <c r="G36"/>
  <c r="I26"/>
  <c r="G26"/>
  <c r="J55"/>
  <c r="J65" i="29"/>
  <c r="K65" s="1"/>
  <c r="K64" s="1"/>
  <c r="J55"/>
  <c r="K55" s="1"/>
  <c r="H65"/>
  <c r="F64"/>
  <c r="E64"/>
  <c r="E43"/>
  <c r="D43" s="1"/>
  <c r="J43"/>
  <c r="K43" s="1"/>
  <c r="I72"/>
  <c r="G72"/>
  <c r="I47"/>
  <c r="G47"/>
  <c r="I45"/>
  <c r="G45"/>
  <c r="I35"/>
  <c r="G35"/>
  <c r="I33"/>
  <c r="G33"/>
  <c r="I31"/>
  <c r="G31"/>
  <c r="I29"/>
  <c r="G29"/>
  <c r="I27"/>
  <c r="G27"/>
  <c r="I18"/>
  <c r="G18"/>
  <c r="I66"/>
  <c r="G66"/>
  <c r="I58"/>
  <c r="G58"/>
  <c r="I56"/>
  <c r="G56"/>
  <c r="I42"/>
  <c r="G42"/>
  <c r="I41"/>
  <c r="G41"/>
  <c r="I40"/>
  <c r="G40"/>
  <c r="I26"/>
  <c r="G26"/>
  <c r="G21"/>
  <c r="I15"/>
  <c r="G15"/>
  <c r="I71"/>
  <c r="G71"/>
  <c r="I48"/>
  <c r="G48"/>
  <c r="I46"/>
  <c r="G46"/>
  <c r="I44"/>
  <c r="G44"/>
  <c r="I34"/>
  <c r="G34"/>
  <c r="I32"/>
  <c r="G32"/>
  <c r="I30"/>
  <c r="G30"/>
  <c r="I28"/>
  <c r="G28"/>
  <c r="I24"/>
  <c r="G24"/>
  <c r="I14"/>
  <c r="G14"/>
  <c r="E69"/>
  <c r="D69" s="1"/>
  <c r="D68" s="1"/>
  <c r="F68"/>
  <c r="E68" s="1"/>
  <c r="H69"/>
  <c r="I67"/>
  <c r="G67"/>
  <c r="J64"/>
  <c r="I59"/>
  <c r="G59"/>
  <c r="I57"/>
  <c r="G57"/>
  <c r="I54"/>
  <c r="G54"/>
  <c r="I39"/>
  <c r="G39"/>
  <c r="I37"/>
  <c r="G37"/>
  <c r="I36"/>
  <c r="G36"/>
  <c r="D24"/>
  <c r="D21" s="1"/>
  <c r="E21"/>
  <c r="I21" s="1"/>
  <c r="I22"/>
  <c r="G22"/>
  <c r="J68"/>
  <c r="K68" s="1"/>
  <c r="F13"/>
  <c r="I43"/>
  <c r="C12"/>
  <c r="C11" s="1"/>
  <c r="J69"/>
  <c r="K69" s="1"/>
  <c r="J21"/>
  <c r="K21" s="1"/>
  <c r="I52"/>
  <c r="F40" i="27"/>
  <c r="F60"/>
  <c r="F12" i="30" l="1"/>
  <c r="E12" s="1"/>
  <c r="E13"/>
  <c r="D13" s="1"/>
  <c r="H13"/>
  <c r="I27"/>
  <c r="H49"/>
  <c r="I49" s="1"/>
  <c r="I50"/>
  <c r="K55"/>
  <c r="J12"/>
  <c r="K12" s="1"/>
  <c r="H12"/>
  <c r="I65" i="29"/>
  <c r="I64" s="1"/>
  <c r="H64"/>
  <c r="G65"/>
  <c r="G64" s="1"/>
  <c r="C10"/>
  <c r="E13"/>
  <c r="D13" s="1"/>
  <c r="H13"/>
  <c r="F12"/>
  <c r="J13"/>
  <c r="I69"/>
  <c r="G69"/>
  <c r="G68" s="1"/>
  <c r="H68"/>
  <c r="I68" s="1"/>
  <c r="F59" i="27"/>
  <c r="J59" s="1"/>
  <c r="K59" s="1"/>
  <c r="F35"/>
  <c r="F34"/>
  <c r="E34" s="1"/>
  <c r="F33"/>
  <c r="F31"/>
  <c r="E31" s="1"/>
  <c r="D31" s="1"/>
  <c r="F29"/>
  <c r="F28"/>
  <c r="E28" s="1"/>
  <c r="D28" s="1"/>
  <c r="F66"/>
  <c r="F41"/>
  <c r="E41" s="1"/>
  <c r="F46"/>
  <c r="F44"/>
  <c r="E44" s="1"/>
  <c r="F42"/>
  <c r="F45"/>
  <c r="J45" s="1"/>
  <c r="K45" s="1"/>
  <c r="F32"/>
  <c r="F58"/>
  <c r="F47"/>
  <c r="H47" s="1"/>
  <c r="G47" s="1"/>
  <c r="F30"/>
  <c r="F67"/>
  <c r="J67" s="1"/>
  <c r="K67" s="1"/>
  <c r="F22"/>
  <c r="F54"/>
  <c r="F26"/>
  <c r="J26" s="1"/>
  <c r="K26" s="1"/>
  <c r="F24"/>
  <c r="J24" s="1"/>
  <c r="K24" s="1"/>
  <c r="F48"/>
  <c r="E48" s="1"/>
  <c r="F18"/>
  <c r="J18" s="1"/>
  <c r="K18" s="1"/>
  <c r="F72"/>
  <c r="F15"/>
  <c r="F14" s="1"/>
  <c r="E72"/>
  <c r="F71"/>
  <c r="E71" s="1"/>
  <c r="D71" s="1"/>
  <c r="J70"/>
  <c r="K70" s="1"/>
  <c r="H70"/>
  <c r="G70" s="1"/>
  <c r="E70"/>
  <c r="C69"/>
  <c r="C68" s="1"/>
  <c r="J66"/>
  <c r="K66" s="1"/>
  <c r="C65"/>
  <c r="C64" s="1"/>
  <c r="J63"/>
  <c r="K63" s="1"/>
  <c r="H63"/>
  <c r="G63" s="1"/>
  <c r="E63"/>
  <c r="J62"/>
  <c r="K62" s="1"/>
  <c r="H62"/>
  <c r="G62" s="1"/>
  <c r="E62"/>
  <c r="J61"/>
  <c r="K61" s="1"/>
  <c r="H61"/>
  <c r="G61" s="1"/>
  <c r="E61"/>
  <c r="C60"/>
  <c r="G60" s="1"/>
  <c r="J58"/>
  <c r="K58" s="1"/>
  <c r="F57"/>
  <c r="J57" s="1"/>
  <c r="K57" s="1"/>
  <c r="C56"/>
  <c r="J53"/>
  <c r="K53" s="1"/>
  <c r="H53"/>
  <c r="E53"/>
  <c r="C52"/>
  <c r="J51"/>
  <c r="K51" s="1"/>
  <c r="H51"/>
  <c r="E51"/>
  <c r="F50"/>
  <c r="C50"/>
  <c r="J47"/>
  <c r="K47" s="1"/>
  <c r="J46"/>
  <c r="K46" s="1"/>
  <c r="E46"/>
  <c r="D46" s="1"/>
  <c r="F43"/>
  <c r="C43"/>
  <c r="J42"/>
  <c r="K42" s="1"/>
  <c r="E42"/>
  <c r="D42" s="1"/>
  <c r="J41"/>
  <c r="K41" s="1"/>
  <c r="J40"/>
  <c r="K40" s="1"/>
  <c r="E40"/>
  <c r="D40" s="1"/>
  <c r="C39"/>
  <c r="J38"/>
  <c r="K38" s="1"/>
  <c r="H38"/>
  <c r="G38" s="1"/>
  <c r="E38"/>
  <c r="F37"/>
  <c r="C36"/>
  <c r="E35"/>
  <c r="E33"/>
  <c r="E32"/>
  <c r="D32" s="1"/>
  <c r="E30"/>
  <c r="D30" s="1"/>
  <c r="E29"/>
  <c r="D29" s="1"/>
  <c r="C27"/>
  <c r="F25"/>
  <c r="C25"/>
  <c r="E24"/>
  <c r="J23"/>
  <c r="K23" s="1"/>
  <c r="H23"/>
  <c r="E23"/>
  <c r="D23" s="1"/>
  <c r="J22"/>
  <c r="K22" s="1"/>
  <c r="C21"/>
  <c r="J20"/>
  <c r="K20" s="1"/>
  <c r="H20"/>
  <c r="E20"/>
  <c r="D20" s="1"/>
  <c r="J19"/>
  <c r="K19" s="1"/>
  <c r="H19"/>
  <c r="E19"/>
  <c r="D19" s="1"/>
  <c r="H18"/>
  <c r="G18" s="1"/>
  <c r="J17"/>
  <c r="K17" s="1"/>
  <c r="H17"/>
  <c r="E17"/>
  <c r="D17" s="1"/>
  <c r="J16"/>
  <c r="K16" s="1"/>
  <c r="H16"/>
  <c r="G16" s="1"/>
  <c r="E16"/>
  <c r="D16" s="1"/>
  <c r="J15"/>
  <c r="K15" s="1"/>
  <c r="C14"/>
  <c r="F41" i="26"/>
  <c r="F35"/>
  <c r="F66"/>
  <c r="F40"/>
  <c r="J40" s="1"/>
  <c r="K40" s="1"/>
  <c r="F46"/>
  <c r="F44"/>
  <c r="F58"/>
  <c r="E58" s="1"/>
  <c r="F32"/>
  <c r="J32" s="1"/>
  <c r="K32" s="1"/>
  <c r="F31"/>
  <c r="J31" s="1"/>
  <c r="K31" s="1"/>
  <c r="F29"/>
  <c r="F67"/>
  <c r="J67" s="1"/>
  <c r="K67" s="1"/>
  <c r="F33"/>
  <c r="F42"/>
  <c r="J42" s="1"/>
  <c r="K42" s="1"/>
  <c r="F34"/>
  <c r="J34" s="1"/>
  <c r="K34" s="1"/>
  <c r="F30"/>
  <c r="J30" s="1"/>
  <c r="K30" s="1"/>
  <c r="F28"/>
  <c r="J28" s="1"/>
  <c r="K28" s="1"/>
  <c r="F22"/>
  <c r="E22" s="1"/>
  <c r="F54"/>
  <c r="J54" s="1"/>
  <c r="K54" s="1"/>
  <c r="F26"/>
  <c r="F15"/>
  <c r="J15" s="1"/>
  <c r="K15" s="1"/>
  <c r="F24"/>
  <c r="F72"/>
  <c r="J72" s="1"/>
  <c r="K72" s="1"/>
  <c r="F71"/>
  <c r="J71" s="1"/>
  <c r="K71" s="1"/>
  <c r="J70"/>
  <c r="K70" s="1"/>
  <c r="H70"/>
  <c r="G70" s="1"/>
  <c r="E70"/>
  <c r="C69"/>
  <c r="F65"/>
  <c r="C65"/>
  <c r="F64"/>
  <c r="J63"/>
  <c r="K63" s="1"/>
  <c r="H63"/>
  <c r="G63" s="1"/>
  <c r="E63"/>
  <c r="J62"/>
  <c r="K62" s="1"/>
  <c r="H62"/>
  <c r="G62" s="1"/>
  <c r="E62"/>
  <c r="I62" s="1"/>
  <c r="J61"/>
  <c r="K61" s="1"/>
  <c r="H61"/>
  <c r="G61" s="1"/>
  <c r="E61"/>
  <c r="C60"/>
  <c r="F59"/>
  <c r="J59" s="1"/>
  <c r="K59" s="1"/>
  <c r="J58"/>
  <c r="K58" s="1"/>
  <c r="F57"/>
  <c r="C56"/>
  <c r="E54"/>
  <c r="J53"/>
  <c r="K53" s="1"/>
  <c r="H53"/>
  <c r="G53" s="1"/>
  <c r="E53"/>
  <c r="F52"/>
  <c r="C52"/>
  <c r="J51"/>
  <c r="K51" s="1"/>
  <c r="H51"/>
  <c r="G51" s="1"/>
  <c r="G50" s="1"/>
  <c r="G49" s="1"/>
  <c r="E51"/>
  <c r="I51" s="1"/>
  <c r="I50" s="1"/>
  <c r="I49" s="1"/>
  <c r="F50"/>
  <c r="C50"/>
  <c r="F48"/>
  <c r="J48" s="1"/>
  <c r="K48" s="1"/>
  <c r="J47"/>
  <c r="K47" s="1"/>
  <c r="H47"/>
  <c r="G47" s="1"/>
  <c r="E47"/>
  <c r="J45"/>
  <c r="K45" s="1"/>
  <c r="H45"/>
  <c r="G45" s="1"/>
  <c r="E45"/>
  <c r="J44"/>
  <c r="K44" s="1"/>
  <c r="C43"/>
  <c r="E41"/>
  <c r="E40"/>
  <c r="C39"/>
  <c r="J38"/>
  <c r="K38" s="1"/>
  <c r="H38"/>
  <c r="G38" s="1"/>
  <c r="E38"/>
  <c r="F37"/>
  <c r="J37" s="1"/>
  <c r="K37" s="1"/>
  <c r="F36"/>
  <c r="C36"/>
  <c r="J35"/>
  <c r="K35" s="1"/>
  <c r="J33"/>
  <c r="K33" s="1"/>
  <c r="J29"/>
  <c r="K29" s="1"/>
  <c r="C27"/>
  <c r="C25"/>
  <c r="J24"/>
  <c r="K24" s="1"/>
  <c r="J23"/>
  <c r="K23" s="1"/>
  <c r="H23"/>
  <c r="G23" s="1"/>
  <c r="E23"/>
  <c r="J22"/>
  <c r="K22" s="1"/>
  <c r="C21"/>
  <c r="J20"/>
  <c r="K20" s="1"/>
  <c r="H20"/>
  <c r="E20"/>
  <c r="D20" s="1"/>
  <c r="J19"/>
  <c r="K19" s="1"/>
  <c r="H19"/>
  <c r="I19" s="1"/>
  <c r="E19"/>
  <c r="D19" s="1"/>
  <c r="J18"/>
  <c r="K18" s="1"/>
  <c r="H18"/>
  <c r="E18"/>
  <c r="D18" s="1"/>
  <c r="J17"/>
  <c r="K17" s="1"/>
  <c r="H17"/>
  <c r="E17"/>
  <c r="D17" s="1"/>
  <c r="J16"/>
  <c r="K16" s="1"/>
  <c r="H16"/>
  <c r="E16"/>
  <c r="D16" s="1"/>
  <c r="E15"/>
  <c r="D15" s="1"/>
  <c r="C14"/>
  <c r="H36" l="1"/>
  <c r="G36" s="1"/>
  <c r="C55" i="27"/>
  <c r="I61"/>
  <c r="I63"/>
  <c r="J14"/>
  <c r="K14" s="1"/>
  <c r="F56"/>
  <c r="F11" i="30"/>
  <c r="J11" s="1"/>
  <c r="K11" s="1"/>
  <c r="G13"/>
  <c r="I13"/>
  <c r="I12"/>
  <c r="I11" s="1"/>
  <c r="G12"/>
  <c r="G11" s="1"/>
  <c r="H11"/>
  <c r="D12"/>
  <c r="D11" s="1"/>
  <c r="E11"/>
  <c r="E12" i="29"/>
  <c r="F11"/>
  <c r="J11" s="1"/>
  <c r="K11" s="1"/>
  <c r="H12"/>
  <c r="K13"/>
  <c r="J12"/>
  <c r="K12" s="1"/>
  <c r="I13"/>
  <c r="G13"/>
  <c r="F14" i="26"/>
  <c r="H14" s="1"/>
  <c r="I16"/>
  <c r="I18"/>
  <c r="G19"/>
  <c r="I20"/>
  <c r="E18" i="27"/>
  <c r="J25"/>
  <c r="K25" s="1"/>
  <c r="F39"/>
  <c r="J39" s="1"/>
  <c r="K39" s="1"/>
  <c r="E47"/>
  <c r="I47" s="1"/>
  <c r="F69"/>
  <c r="F21"/>
  <c r="I45" i="26"/>
  <c r="D45"/>
  <c r="J26"/>
  <c r="K26" s="1"/>
  <c r="F25"/>
  <c r="H25" s="1"/>
  <c r="G25" s="1"/>
  <c r="J46"/>
  <c r="K46" s="1"/>
  <c r="F43"/>
  <c r="J43" s="1"/>
  <c r="K43" s="1"/>
  <c r="E66"/>
  <c r="D66" s="1"/>
  <c r="J66"/>
  <c r="K66" s="1"/>
  <c r="J41"/>
  <c r="K41" s="1"/>
  <c r="F39"/>
  <c r="J39" s="1"/>
  <c r="K39" s="1"/>
  <c r="I18" i="27"/>
  <c r="D18"/>
  <c r="I23"/>
  <c r="G23"/>
  <c r="J37"/>
  <c r="K37" s="1"/>
  <c r="E37"/>
  <c r="D37" s="1"/>
  <c r="I62"/>
  <c r="D62"/>
  <c r="I38"/>
  <c r="E26" i="26"/>
  <c r="E25" s="1"/>
  <c r="E42"/>
  <c r="E39" s="1"/>
  <c r="E46"/>
  <c r="D46" s="1"/>
  <c r="I53"/>
  <c r="D53"/>
  <c r="J57"/>
  <c r="K57" s="1"/>
  <c r="F56"/>
  <c r="H56" s="1"/>
  <c r="G56" s="1"/>
  <c r="E67"/>
  <c r="D67" s="1"/>
  <c r="I20" i="27"/>
  <c r="G20"/>
  <c r="C13"/>
  <c r="F36"/>
  <c r="H36" s="1"/>
  <c r="G51"/>
  <c r="G50" s="1"/>
  <c r="G49" s="1"/>
  <c r="I51"/>
  <c r="G53"/>
  <c r="I53"/>
  <c r="D41"/>
  <c r="E39"/>
  <c r="J25" i="26"/>
  <c r="K25" s="1"/>
  <c r="J50"/>
  <c r="K50" s="1"/>
  <c r="C49"/>
  <c r="I61"/>
  <c r="I63"/>
  <c r="I70"/>
  <c r="F27"/>
  <c r="J27" s="1"/>
  <c r="K27" s="1"/>
  <c r="I17" i="27"/>
  <c r="J36"/>
  <c r="K36" s="1"/>
  <c r="D39"/>
  <c r="F65"/>
  <c r="J65" s="1"/>
  <c r="J64" s="1"/>
  <c r="I70"/>
  <c r="E45"/>
  <c r="H45"/>
  <c r="J56"/>
  <c r="K56" s="1"/>
  <c r="E43"/>
  <c r="D43" s="1"/>
  <c r="H39"/>
  <c r="J21"/>
  <c r="K21" s="1"/>
  <c r="I19"/>
  <c r="I16"/>
  <c r="H69"/>
  <c r="F68"/>
  <c r="E68" s="1"/>
  <c r="J69"/>
  <c r="K69" s="1"/>
  <c r="E14"/>
  <c r="D14" s="1"/>
  <c r="E15"/>
  <c r="D15" s="1"/>
  <c r="G17"/>
  <c r="G19"/>
  <c r="E22"/>
  <c r="D24"/>
  <c r="H24"/>
  <c r="E26"/>
  <c r="F27"/>
  <c r="H28"/>
  <c r="H29"/>
  <c r="H30"/>
  <c r="H31"/>
  <c r="D33"/>
  <c r="D35"/>
  <c r="D48"/>
  <c r="H14"/>
  <c r="H15"/>
  <c r="H21"/>
  <c r="H22"/>
  <c r="H25"/>
  <c r="H26"/>
  <c r="J28"/>
  <c r="K28" s="1"/>
  <c r="J29"/>
  <c r="K29" s="1"/>
  <c r="J30"/>
  <c r="K30" s="1"/>
  <c r="J31"/>
  <c r="K31" s="1"/>
  <c r="D34"/>
  <c r="D44"/>
  <c r="H32"/>
  <c r="J32"/>
  <c r="K32" s="1"/>
  <c r="H33"/>
  <c r="J33"/>
  <c r="K33" s="1"/>
  <c r="H34"/>
  <c r="J34"/>
  <c r="K34" s="1"/>
  <c r="H35"/>
  <c r="J35"/>
  <c r="K35" s="1"/>
  <c r="H43"/>
  <c r="J43"/>
  <c r="K43" s="1"/>
  <c r="H44"/>
  <c r="J44"/>
  <c r="K44" s="1"/>
  <c r="H48"/>
  <c r="J48"/>
  <c r="K48" s="1"/>
  <c r="J50"/>
  <c r="K50" s="1"/>
  <c r="C49"/>
  <c r="H50"/>
  <c r="D51"/>
  <c r="D50" s="1"/>
  <c r="D53"/>
  <c r="E54"/>
  <c r="F52"/>
  <c r="J52" s="1"/>
  <c r="K52" s="1"/>
  <c r="J54"/>
  <c r="K54" s="1"/>
  <c r="G69"/>
  <c r="G68" s="1"/>
  <c r="H37"/>
  <c r="D38"/>
  <c r="H40"/>
  <c r="H41"/>
  <c r="H42"/>
  <c r="H46"/>
  <c r="E50"/>
  <c r="E49" s="1"/>
  <c r="H54"/>
  <c r="D72"/>
  <c r="F55"/>
  <c r="E56"/>
  <c r="E57"/>
  <c r="E58"/>
  <c r="E59"/>
  <c r="D61"/>
  <c r="D60" s="1"/>
  <c r="E60" s="1"/>
  <c r="H60" s="1"/>
  <c r="I60" s="1"/>
  <c r="D63"/>
  <c r="E65"/>
  <c r="E66"/>
  <c r="E67"/>
  <c r="E69"/>
  <c r="D69" s="1"/>
  <c r="D68" s="1"/>
  <c r="H71"/>
  <c r="J71"/>
  <c r="K71" s="1"/>
  <c r="H72"/>
  <c r="J72"/>
  <c r="K72" s="1"/>
  <c r="H56"/>
  <c r="I56" s="1"/>
  <c r="H57"/>
  <c r="H58"/>
  <c r="H59"/>
  <c r="H66"/>
  <c r="H67"/>
  <c r="D70"/>
  <c r="I17" i="26"/>
  <c r="I23"/>
  <c r="E36"/>
  <c r="D36" s="1"/>
  <c r="E37"/>
  <c r="D37" s="1"/>
  <c r="I38"/>
  <c r="I36" s="1"/>
  <c r="I47"/>
  <c r="E50"/>
  <c r="E49" s="1"/>
  <c r="D51"/>
  <c r="D50" s="1"/>
  <c r="J52"/>
  <c r="K52" s="1"/>
  <c r="E57"/>
  <c r="E59"/>
  <c r="D59" s="1"/>
  <c r="D61"/>
  <c r="D60" s="1"/>
  <c r="E60" s="1"/>
  <c r="F60" s="1"/>
  <c r="D63"/>
  <c r="H65"/>
  <c r="I65" s="1"/>
  <c r="I64" s="1"/>
  <c r="G17"/>
  <c r="E65"/>
  <c r="E64" s="1"/>
  <c r="J60"/>
  <c r="K60" s="1"/>
  <c r="G60"/>
  <c r="H60" s="1"/>
  <c r="I60" s="1"/>
  <c r="G65"/>
  <c r="G64" s="1"/>
  <c r="G14"/>
  <c r="C13"/>
  <c r="H15"/>
  <c r="G16"/>
  <c r="G18"/>
  <c r="G20"/>
  <c r="F21"/>
  <c r="D22"/>
  <c r="H22"/>
  <c r="G22" s="1"/>
  <c r="D23"/>
  <c r="E24"/>
  <c r="H26"/>
  <c r="G26" s="1"/>
  <c r="E27"/>
  <c r="E28"/>
  <c r="E29"/>
  <c r="E30"/>
  <c r="E31"/>
  <c r="E32"/>
  <c r="E33"/>
  <c r="E34"/>
  <c r="E35"/>
  <c r="J36"/>
  <c r="K36" s="1"/>
  <c r="H37"/>
  <c r="G37" s="1"/>
  <c r="D38"/>
  <c r="D40"/>
  <c r="H40"/>
  <c r="G40" s="1"/>
  <c r="D41"/>
  <c r="H41"/>
  <c r="G41" s="1"/>
  <c r="D42"/>
  <c r="H42"/>
  <c r="G42" s="1"/>
  <c r="E44"/>
  <c r="H46"/>
  <c r="G46" s="1"/>
  <c r="D47"/>
  <c r="E48"/>
  <c r="F49"/>
  <c r="J49" s="1"/>
  <c r="K49" s="1"/>
  <c r="E52"/>
  <c r="D54"/>
  <c r="H54"/>
  <c r="G54" s="1"/>
  <c r="C55"/>
  <c r="J56"/>
  <c r="K56" s="1"/>
  <c r="D57"/>
  <c r="H57"/>
  <c r="G57" s="1"/>
  <c r="D58"/>
  <c r="H58"/>
  <c r="G58" s="1"/>
  <c r="H59"/>
  <c r="G59" s="1"/>
  <c r="D62"/>
  <c r="C64"/>
  <c r="J65"/>
  <c r="H66"/>
  <c r="G66" s="1"/>
  <c r="H67"/>
  <c r="G67" s="1"/>
  <c r="C68"/>
  <c r="F69"/>
  <c r="D70"/>
  <c r="E71"/>
  <c r="E72"/>
  <c r="H24"/>
  <c r="G24" s="1"/>
  <c r="H28"/>
  <c r="G28" s="1"/>
  <c r="H29"/>
  <c r="G29" s="1"/>
  <c r="H30"/>
  <c r="G30" s="1"/>
  <c r="H31"/>
  <c r="G31" s="1"/>
  <c r="H32"/>
  <c r="G32" s="1"/>
  <c r="H33"/>
  <c r="G33" s="1"/>
  <c r="H34"/>
  <c r="G34" s="1"/>
  <c r="H35"/>
  <c r="G35" s="1"/>
  <c r="H43"/>
  <c r="G43" s="1"/>
  <c r="H44"/>
  <c r="G44" s="1"/>
  <c r="H48"/>
  <c r="G48" s="1"/>
  <c r="H50"/>
  <c r="H49" s="1"/>
  <c r="H52"/>
  <c r="G52" s="1"/>
  <c r="H71"/>
  <c r="G71" s="1"/>
  <c r="H72"/>
  <c r="G72" s="1"/>
  <c r="F29" i="25"/>
  <c r="F59"/>
  <c r="J59" s="1"/>
  <c r="K59" s="1"/>
  <c r="F44"/>
  <c r="F67"/>
  <c r="E67" s="1"/>
  <c r="F41"/>
  <c r="F30"/>
  <c r="E30" s="1"/>
  <c r="D30" s="1"/>
  <c r="F66"/>
  <c r="F34"/>
  <c r="J34" s="1"/>
  <c r="K34" s="1"/>
  <c r="F58"/>
  <c r="F28"/>
  <c r="E28" s="1"/>
  <c r="D28" s="1"/>
  <c r="F37"/>
  <c r="F42"/>
  <c r="J42" s="1"/>
  <c r="K42" s="1"/>
  <c r="F22"/>
  <c r="F54"/>
  <c r="E54" s="1"/>
  <c r="D54" s="1"/>
  <c r="F26"/>
  <c r="F15"/>
  <c r="F14" s="1"/>
  <c r="F24"/>
  <c r="F71"/>
  <c r="E71" s="1"/>
  <c r="D71" s="1"/>
  <c r="F31"/>
  <c r="F33"/>
  <c r="J33" s="1"/>
  <c r="K33" s="1"/>
  <c r="F46"/>
  <c r="F72"/>
  <c r="J72" s="1"/>
  <c r="K72" s="1"/>
  <c r="J70"/>
  <c r="K70" s="1"/>
  <c r="H70"/>
  <c r="G70" s="1"/>
  <c r="E70"/>
  <c r="C69"/>
  <c r="C68" s="1"/>
  <c r="E66"/>
  <c r="C65"/>
  <c r="C64" s="1"/>
  <c r="J63"/>
  <c r="K63" s="1"/>
  <c r="H63"/>
  <c r="G63" s="1"/>
  <c r="E63"/>
  <c r="J62"/>
  <c r="K62" s="1"/>
  <c r="H62"/>
  <c r="G62" s="1"/>
  <c r="E62"/>
  <c r="J61"/>
  <c r="K61" s="1"/>
  <c r="H61"/>
  <c r="G61" s="1"/>
  <c r="E61"/>
  <c r="C60"/>
  <c r="J58"/>
  <c r="K58" s="1"/>
  <c r="E58"/>
  <c r="D58" s="1"/>
  <c r="F57"/>
  <c r="J57" s="1"/>
  <c r="K57" s="1"/>
  <c r="C56"/>
  <c r="J53"/>
  <c r="K53" s="1"/>
  <c r="H53"/>
  <c r="G53" s="1"/>
  <c r="E53"/>
  <c r="C52"/>
  <c r="J51"/>
  <c r="K51" s="1"/>
  <c r="H51"/>
  <c r="G51" s="1"/>
  <c r="G50" s="1"/>
  <c r="G49" s="1"/>
  <c r="E51"/>
  <c r="F50"/>
  <c r="E50"/>
  <c r="E49" s="1"/>
  <c r="C50"/>
  <c r="C49" s="1"/>
  <c r="F48"/>
  <c r="E48" s="1"/>
  <c r="J47"/>
  <c r="K47" s="1"/>
  <c r="H47"/>
  <c r="G47" s="1"/>
  <c r="E47"/>
  <c r="J46"/>
  <c r="K46" s="1"/>
  <c r="E46"/>
  <c r="D46" s="1"/>
  <c r="J45"/>
  <c r="K45" s="1"/>
  <c r="H45"/>
  <c r="G45" s="1"/>
  <c r="E45"/>
  <c r="E44"/>
  <c r="F43"/>
  <c r="C43"/>
  <c r="E42"/>
  <c r="D42" s="1"/>
  <c r="J41"/>
  <c r="K41" s="1"/>
  <c r="E41"/>
  <c r="D41" s="1"/>
  <c r="F40"/>
  <c r="J40" s="1"/>
  <c r="K40" s="1"/>
  <c r="C39"/>
  <c r="J38"/>
  <c r="K38" s="1"/>
  <c r="H38"/>
  <c r="G38" s="1"/>
  <c r="E38"/>
  <c r="J37"/>
  <c r="K37" s="1"/>
  <c r="H37"/>
  <c r="G37" s="1"/>
  <c r="E37"/>
  <c r="F36"/>
  <c r="C36"/>
  <c r="F35"/>
  <c r="J35" s="1"/>
  <c r="K35" s="1"/>
  <c r="F32"/>
  <c r="J32" s="1"/>
  <c r="K32" s="1"/>
  <c r="J31"/>
  <c r="K31" s="1"/>
  <c r="E31"/>
  <c r="D31" s="1"/>
  <c r="J29"/>
  <c r="K29" s="1"/>
  <c r="E29"/>
  <c r="D29" s="1"/>
  <c r="C27"/>
  <c r="E26"/>
  <c r="F25"/>
  <c r="C25"/>
  <c r="J24"/>
  <c r="K24" s="1"/>
  <c r="E24"/>
  <c r="D24" s="1"/>
  <c r="J23"/>
  <c r="K23" s="1"/>
  <c r="H23"/>
  <c r="G23" s="1"/>
  <c r="E23"/>
  <c r="E22"/>
  <c r="F21"/>
  <c r="C21"/>
  <c r="J20"/>
  <c r="K20" s="1"/>
  <c r="H20"/>
  <c r="E20"/>
  <c r="D20" s="1"/>
  <c r="J19"/>
  <c r="K19" s="1"/>
  <c r="H19"/>
  <c r="E19"/>
  <c r="D19" s="1"/>
  <c r="J18"/>
  <c r="K18" s="1"/>
  <c r="H18"/>
  <c r="E18"/>
  <c r="D18" s="1"/>
  <c r="J17"/>
  <c r="K17" s="1"/>
  <c r="H17"/>
  <c r="E17"/>
  <c r="D17" s="1"/>
  <c r="J16"/>
  <c r="K16" s="1"/>
  <c r="H16"/>
  <c r="E16"/>
  <c r="D16" s="1"/>
  <c r="C14"/>
  <c r="E40" l="1"/>
  <c r="D40" s="1"/>
  <c r="D39" s="1"/>
  <c r="I53"/>
  <c r="I12" i="29"/>
  <c r="I11" s="1"/>
  <c r="G12"/>
  <c r="G11" s="1"/>
  <c r="H11"/>
  <c r="E11"/>
  <c r="D12"/>
  <c r="D11" s="1"/>
  <c r="J28" i="25"/>
  <c r="K28" s="1"/>
  <c r="E34"/>
  <c r="D34" s="1"/>
  <c r="J54"/>
  <c r="K54" s="1"/>
  <c r="F56"/>
  <c r="H56" s="1"/>
  <c r="E59"/>
  <c r="D59" s="1"/>
  <c r="I70"/>
  <c r="E43" i="26"/>
  <c r="I43" s="1"/>
  <c r="D26"/>
  <c r="D25" s="1"/>
  <c r="J14"/>
  <c r="K14" s="1"/>
  <c r="D65"/>
  <c r="D64" s="1"/>
  <c r="E14"/>
  <c r="D14" s="1"/>
  <c r="E56"/>
  <c r="H39"/>
  <c r="G39" s="1"/>
  <c r="F55"/>
  <c r="D47" i="27"/>
  <c r="C12"/>
  <c r="C11" s="1"/>
  <c r="I39" i="26"/>
  <c r="G36" i="27"/>
  <c r="G66"/>
  <c r="I66"/>
  <c r="G59"/>
  <c r="I59"/>
  <c r="G57"/>
  <c r="I57"/>
  <c r="J55"/>
  <c r="K55" s="1"/>
  <c r="G55"/>
  <c r="H55"/>
  <c r="G54"/>
  <c r="I54"/>
  <c r="G46"/>
  <c r="I46"/>
  <c r="G41"/>
  <c r="I41"/>
  <c r="H49"/>
  <c r="I49" s="1"/>
  <c r="I50"/>
  <c r="G48"/>
  <c r="I48"/>
  <c r="G44"/>
  <c r="I44"/>
  <c r="G43"/>
  <c r="I43"/>
  <c r="G26"/>
  <c r="I26"/>
  <c r="G22"/>
  <c r="I22"/>
  <c r="G30"/>
  <c r="I30"/>
  <c r="G28"/>
  <c r="I28"/>
  <c r="G39"/>
  <c r="I39"/>
  <c r="G45"/>
  <c r="I45"/>
  <c r="E15" i="25"/>
  <c r="D15" s="1"/>
  <c r="I16"/>
  <c r="I18"/>
  <c r="I20"/>
  <c r="F27"/>
  <c r="H27" s="1"/>
  <c r="G27" s="1"/>
  <c r="J30"/>
  <c r="K30" s="1"/>
  <c r="E33"/>
  <c r="D33" s="1"/>
  <c r="E36"/>
  <c r="D36" s="1"/>
  <c r="I38"/>
  <c r="I36" s="1"/>
  <c r="E39"/>
  <c r="I47"/>
  <c r="D53"/>
  <c r="I62"/>
  <c r="D70"/>
  <c r="H27" i="26"/>
  <c r="G27" s="1"/>
  <c r="H64"/>
  <c r="G67" i="27"/>
  <c r="I67"/>
  <c r="H65"/>
  <c r="I65" s="1"/>
  <c r="I64" s="1"/>
  <c r="G58"/>
  <c r="I58"/>
  <c r="G72"/>
  <c r="I72"/>
  <c r="G71"/>
  <c r="I71"/>
  <c r="J68"/>
  <c r="K68" s="1"/>
  <c r="F64"/>
  <c r="G42"/>
  <c r="I42"/>
  <c r="G40"/>
  <c r="I40"/>
  <c r="G37"/>
  <c r="I37"/>
  <c r="E36"/>
  <c r="D36" s="1"/>
  <c r="G35"/>
  <c r="I35"/>
  <c r="G34"/>
  <c r="I34"/>
  <c r="G33"/>
  <c r="I33"/>
  <c r="G32"/>
  <c r="I32"/>
  <c r="G25"/>
  <c r="G21"/>
  <c r="G31"/>
  <c r="I31"/>
  <c r="G29"/>
  <c r="I29"/>
  <c r="G24"/>
  <c r="I24"/>
  <c r="H68"/>
  <c r="I68" s="1"/>
  <c r="I69"/>
  <c r="D45"/>
  <c r="K65"/>
  <c r="K64" s="1"/>
  <c r="C10"/>
  <c r="G56"/>
  <c r="D66"/>
  <c r="D58"/>
  <c r="D56"/>
  <c r="D55" s="1"/>
  <c r="E55"/>
  <c r="I55" s="1"/>
  <c r="J60"/>
  <c r="K60" s="1"/>
  <c r="H52"/>
  <c r="F49"/>
  <c r="J49" s="1"/>
  <c r="K49" s="1"/>
  <c r="I15"/>
  <c r="G15"/>
  <c r="E27"/>
  <c r="H27"/>
  <c r="D22"/>
  <c r="D21" s="1"/>
  <c r="E21"/>
  <c r="I21" s="1"/>
  <c r="J27"/>
  <c r="K27" s="1"/>
  <c r="D67"/>
  <c r="D65"/>
  <c r="D64" s="1"/>
  <c r="E64"/>
  <c r="D59"/>
  <c r="D57"/>
  <c r="D54"/>
  <c r="E52"/>
  <c r="I14"/>
  <c r="G14"/>
  <c r="D26"/>
  <c r="D25" s="1"/>
  <c r="E25"/>
  <c r="I25" s="1"/>
  <c r="F13"/>
  <c r="J55" i="26"/>
  <c r="K55" s="1"/>
  <c r="H21" i="25"/>
  <c r="I23"/>
  <c r="H25"/>
  <c r="I37"/>
  <c r="J39"/>
  <c r="K39" s="1"/>
  <c r="F39"/>
  <c r="H39" s="1"/>
  <c r="I45"/>
  <c r="H50"/>
  <c r="H49" s="1"/>
  <c r="I51"/>
  <c r="I50" s="1"/>
  <c r="I49" s="1"/>
  <c r="F52"/>
  <c r="H52" s="1"/>
  <c r="G52" s="1"/>
  <c r="E52"/>
  <c r="I61"/>
  <c r="I63"/>
  <c r="F69"/>
  <c r="E69" s="1"/>
  <c r="D69" s="1"/>
  <c r="D68" s="1"/>
  <c r="J71"/>
  <c r="K71" s="1"/>
  <c r="H55" i="26"/>
  <c r="I25"/>
  <c r="D71"/>
  <c r="I71"/>
  <c r="E69"/>
  <c r="D69" s="1"/>
  <c r="D68" s="1"/>
  <c r="F68"/>
  <c r="E68" s="1"/>
  <c r="H69"/>
  <c r="K65"/>
  <c r="K64" s="1"/>
  <c r="J64"/>
  <c r="D43"/>
  <c r="D34"/>
  <c r="I34"/>
  <c r="D32"/>
  <c r="I32"/>
  <c r="D30"/>
  <c r="I30"/>
  <c r="D28"/>
  <c r="I28"/>
  <c r="D24"/>
  <c r="D21" s="1"/>
  <c r="E21"/>
  <c r="I24"/>
  <c r="H21"/>
  <c r="G21" s="1"/>
  <c r="F13"/>
  <c r="J13" s="1"/>
  <c r="I15"/>
  <c r="G15"/>
  <c r="C12"/>
  <c r="C11" s="1"/>
  <c r="D39"/>
  <c r="I67"/>
  <c r="I59"/>
  <c r="I57"/>
  <c r="I42"/>
  <c r="I40"/>
  <c r="I26"/>
  <c r="I22"/>
  <c r="G55"/>
  <c r="D72"/>
  <c r="I72"/>
  <c r="D52"/>
  <c r="D49" s="1"/>
  <c r="I52"/>
  <c r="D48"/>
  <c r="I48"/>
  <c r="D44"/>
  <c r="I44"/>
  <c r="D35"/>
  <c r="I35"/>
  <c r="D33"/>
  <c r="I33"/>
  <c r="D31"/>
  <c r="I31"/>
  <c r="D29"/>
  <c r="I29"/>
  <c r="D27"/>
  <c r="I27"/>
  <c r="J69"/>
  <c r="K69" s="1"/>
  <c r="I66"/>
  <c r="I58"/>
  <c r="I54"/>
  <c r="I46"/>
  <c r="I41"/>
  <c r="I37"/>
  <c r="J21"/>
  <c r="K21" s="1"/>
  <c r="E14" i="25"/>
  <c r="D14" s="1"/>
  <c r="G16"/>
  <c r="I17"/>
  <c r="G18"/>
  <c r="I19"/>
  <c r="G20"/>
  <c r="J21"/>
  <c r="K21" s="1"/>
  <c r="D23"/>
  <c r="J25"/>
  <c r="K25" s="1"/>
  <c r="E32"/>
  <c r="D32" s="1"/>
  <c r="E35"/>
  <c r="D35" s="1"/>
  <c r="D37"/>
  <c r="E43"/>
  <c r="D43" s="1"/>
  <c r="D45"/>
  <c r="D51"/>
  <c r="D50" s="1"/>
  <c r="E57"/>
  <c r="D57" s="1"/>
  <c r="D61"/>
  <c r="D60" s="1"/>
  <c r="E60" s="1"/>
  <c r="F60" s="1"/>
  <c r="J60" s="1"/>
  <c r="K60" s="1"/>
  <c r="D63"/>
  <c r="E72"/>
  <c r="D72" s="1"/>
  <c r="F65"/>
  <c r="E65" s="1"/>
  <c r="E64" s="1"/>
  <c r="J56"/>
  <c r="K56" s="1"/>
  <c r="F13"/>
  <c r="J27"/>
  <c r="K27" s="1"/>
  <c r="E21"/>
  <c r="D22"/>
  <c r="E25"/>
  <c r="D26"/>
  <c r="D25" s="1"/>
  <c r="D44"/>
  <c r="G56"/>
  <c r="D67"/>
  <c r="D48"/>
  <c r="D66"/>
  <c r="J14"/>
  <c r="K14" s="1"/>
  <c r="J15"/>
  <c r="K15" s="1"/>
  <c r="J22"/>
  <c r="K22" s="1"/>
  <c r="H36"/>
  <c r="G36" s="1"/>
  <c r="J36"/>
  <c r="K36" s="1"/>
  <c r="H43"/>
  <c r="G43" s="1"/>
  <c r="J43"/>
  <c r="K43" s="1"/>
  <c r="H44"/>
  <c r="G44" s="1"/>
  <c r="J44"/>
  <c r="K44" s="1"/>
  <c r="H48"/>
  <c r="G48" s="1"/>
  <c r="J48"/>
  <c r="K48" s="1"/>
  <c r="J50"/>
  <c r="K50" s="1"/>
  <c r="E56"/>
  <c r="J65"/>
  <c r="H66"/>
  <c r="G66" s="1"/>
  <c r="J66"/>
  <c r="K66" s="1"/>
  <c r="H67"/>
  <c r="G67" s="1"/>
  <c r="J67"/>
  <c r="K67" s="1"/>
  <c r="H69"/>
  <c r="H14"/>
  <c r="H15"/>
  <c r="H22"/>
  <c r="I22" s="1"/>
  <c r="H26"/>
  <c r="J26"/>
  <c r="K26" s="1"/>
  <c r="E27"/>
  <c r="C13"/>
  <c r="G17"/>
  <c r="G19"/>
  <c r="H24"/>
  <c r="G24" s="1"/>
  <c r="H28"/>
  <c r="G28" s="1"/>
  <c r="H29"/>
  <c r="G29" s="1"/>
  <c r="H30"/>
  <c r="G30" s="1"/>
  <c r="H31"/>
  <c r="G31" s="1"/>
  <c r="H32"/>
  <c r="G32" s="1"/>
  <c r="H33"/>
  <c r="G33" s="1"/>
  <c r="H34"/>
  <c r="G34" s="1"/>
  <c r="H35"/>
  <c r="G35" s="1"/>
  <c r="D38"/>
  <c r="H40"/>
  <c r="I40" s="1"/>
  <c r="H41"/>
  <c r="G41" s="1"/>
  <c r="H42"/>
  <c r="G42" s="1"/>
  <c r="H46"/>
  <c r="G46" s="1"/>
  <c r="D47"/>
  <c r="H54"/>
  <c r="C55"/>
  <c r="H57"/>
  <c r="G57" s="1"/>
  <c r="H58"/>
  <c r="G58" s="1"/>
  <c r="H59"/>
  <c r="G59" s="1"/>
  <c r="D62"/>
  <c r="F68"/>
  <c r="E68" s="1"/>
  <c r="H71"/>
  <c r="G71" s="1"/>
  <c r="H72"/>
  <c r="G72" s="1"/>
  <c r="F36" i="24"/>
  <c r="F55" i="25" l="1"/>
  <c r="G65" i="27"/>
  <c r="G64" s="1"/>
  <c r="G60" i="25"/>
  <c r="H60" s="1"/>
  <c r="I60" s="1"/>
  <c r="I36" i="27"/>
  <c r="D56" i="26"/>
  <c r="D55" s="1"/>
  <c r="I56"/>
  <c r="I55" s="1"/>
  <c r="E55"/>
  <c r="I14"/>
  <c r="G27" i="27"/>
  <c r="I27"/>
  <c r="D21" i="25"/>
  <c r="J68" i="26"/>
  <c r="K68" s="1"/>
  <c r="G52" i="27"/>
  <c r="I52"/>
  <c r="H64"/>
  <c r="D52"/>
  <c r="D49" s="1"/>
  <c r="D27"/>
  <c r="E13"/>
  <c r="D13" s="1"/>
  <c r="F12"/>
  <c r="H13"/>
  <c r="J13"/>
  <c r="J55" i="25"/>
  <c r="K55" s="1"/>
  <c r="J69"/>
  <c r="K69" s="1"/>
  <c r="J52"/>
  <c r="K52" s="1"/>
  <c r="D52"/>
  <c r="D49" s="1"/>
  <c r="I52"/>
  <c r="F49"/>
  <c r="J49" s="1"/>
  <c r="K49" s="1"/>
  <c r="K13" i="26"/>
  <c r="J12"/>
  <c r="K12" s="1"/>
  <c r="G69"/>
  <c r="G68" s="1"/>
  <c r="H68"/>
  <c r="I21"/>
  <c r="C10"/>
  <c r="H13"/>
  <c r="E13"/>
  <c r="D13" s="1"/>
  <c r="F12"/>
  <c r="I69"/>
  <c r="I68" s="1"/>
  <c r="H65" i="25"/>
  <c r="I65" s="1"/>
  <c r="I64" s="1"/>
  <c r="H55"/>
  <c r="F64"/>
  <c r="D65"/>
  <c r="D64" s="1"/>
  <c r="G54"/>
  <c r="J13"/>
  <c r="C12"/>
  <c r="C11" s="1"/>
  <c r="D27"/>
  <c r="I27"/>
  <c r="G26"/>
  <c r="G25"/>
  <c r="I15"/>
  <c r="G15"/>
  <c r="G69"/>
  <c r="G68" s="1"/>
  <c r="H68"/>
  <c r="G65"/>
  <c r="G64" s="1"/>
  <c r="D56"/>
  <c r="D55" s="1"/>
  <c r="E55"/>
  <c r="I56"/>
  <c r="I55" s="1"/>
  <c r="I34"/>
  <c r="I31"/>
  <c r="H13"/>
  <c r="I71"/>
  <c r="I58"/>
  <c r="I42"/>
  <c r="I32"/>
  <c r="I28"/>
  <c r="E13"/>
  <c r="D13" s="1"/>
  <c r="I66"/>
  <c r="I48"/>
  <c r="I43"/>
  <c r="G55"/>
  <c r="I44"/>
  <c r="I25"/>
  <c r="G40"/>
  <c r="G22"/>
  <c r="G21"/>
  <c r="I14"/>
  <c r="G14"/>
  <c r="K65"/>
  <c r="K64" s="1"/>
  <c r="J64"/>
  <c r="I33"/>
  <c r="I29"/>
  <c r="I72"/>
  <c r="I59"/>
  <c r="I57"/>
  <c r="I54"/>
  <c r="I46"/>
  <c r="I41"/>
  <c r="I35"/>
  <c r="I30"/>
  <c r="I24"/>
  <c r="J68"/>
  <c r="K68" s="1"/>
  <c r="I67"/>
  <c r="I26"/>
  <c r="I21"/>
  <c r="E16" i="24"/>
  <c r="D16" s="1"/>
  <c r="E17"/>
  <c r="E18"/>
  <c r="E19"/>
  <c r="E20"/>
  <c r="D20" s="1"/>
  <c r="F59"/>
  <c r="J59" s="1"/>
  <c r="K59" s="1"/>
  <c r="F66"/>
  <c r="J66" s="1"/>
  <c r="K66" s="1"/>
  <c r="F67"/>
  <c r="J67" s="1"/>
  <c r="K67" s="1"/>
  <c r="F46"/>
  <c r="F41"/>
  <c r="J41" s="1"/>
  <c r="K41" s="1"/>
  <c r="F40"/>
  <c r="J40" s="1"/>
  <c r="K40" s="1"/>
  <c r="F35"/>
  <c r="F34"/>
  <c r="F33"/>
  <c r="F32"/>
  <c r="F31"/>
  <c r="F30"/>
  <c r="F29"/>
  <c r="F44"/>
  <c r="E44" s="1"/>
  <c r="D44" s="1"/>
  <c r="F58"/>
  <c r="J58" s="1"/>
  <c r="K58" s="1"/>
  <c r="F22"/>
  <c r="H22" s="1"/>
  <c r="F54"/>
  <c r="J54" s="1"/>
  <c r="K54" s="1"/>
  <c r="F42"/>
  <c r="H42" s="1"/>
  <c r="G42" s="1"/>
  <c r="F26"/>
  <c r="E26" s="1"/>
  <c r="F24"/>
  <c r="E24" s="1"/>
  <c r="D24" s="1"/>
  <c r="F15"/>
  <c r="E15" s="1"/>
  <c r="F72"/>
  <c r="J72" s="1"/>
  <c r="K72" s="1"/>
  <c r="F71"/>
  <c r="J71" s="1"/>
  <c r="K71" s="1"/>
  <c r="J70"/>
  <c r="K70" s="1"/>
  <c r="H70"/>
  <c r="G70" s="1"/>
  <c r="E70"/>
  <c r="C69"/>
  <c r="H66"/>
  <c r="G66" s="1"/>
  <c r="C65"/>
  <c r="L64"/>
  <c r="C64"/>
  <c r="J63"/>
  <c r="K63" s="1"/>
  <c r="H63"/>
  <c r="G63" s="1"/>
  <c r="E63"/>
  <c r="J62"/>
  <c r="K62" s="1"/>
  <c r="H62"/>
  <c r="G62" s="1"/>
  <c r="E62"/>
  <c r="J61"/>
  <c r="K61" s="1"/>
  <c r="H61"/>
  <c r="G61" s="1"/>
  <c r="E61"/>
  <c r="C60"/>
  <c r="F57"/>
  <c r="J57" s="1"/>
  <c r="K57" s="1"/>
  <c r="C56"/>
  <c r="J53"/>
  <c r="K53" s="1"/>
  <c r="H53"/>
  <c r="G53" s="1"/>
  <c r="E53"/>
  <c r="E52" s="1"/>
  <c r="C52"/>
  <c r="J51"/>
  <c r="K51" s="1"/>
  <c r="H51"/>
  <c r="G51" s="1"/>
  <c r="G50" s="1"/>
  <c r="G49" s="1"/>
  <c r="E51"/>
  <c r="F50"/>
  <c r="E50"/>
  <c r="E49" s="1"/>
  <c r="C50"/>
  <c r="J50" s="1"/>
  <c r="K50" s="1"/>
  <c r="F48"/>
  <c r="J48" s="1"/>
  <c r="K48" s="1"/>
  <c r="J47"/>
  <c r="K47" s="1"/>
  <c r="H47"/>
  <c r="G47" s="1"/>
  <c r="E47"/>
  <c r="J45"/>
  <c r="K45" s="1"/>
  <c r="H45"/>
  <c r="G45" s="1"/>
  <c r="E45"/>
  <c r="J44"/>
  <c r="K44" s="1"/>
  <c r="C43"/>
  <c r="E42"/>
  <c r="D42" s="1"/>
  <c r="E41"/>
  <c r="E40"/>
  <c r="D40" s="1"/>
  <c r="C39"/>
  <c r="J38"/>
  <c r="K38" s="1"/>
  <c r="H38"/>
  <c r="G38" s="1"/>
  <c r="E38"/>
  <c r="J37"/>
  <c r="K37" s="1"/>
  <c r="H37"/>
  <c r="G37" s="1"/>
  <c r="E37"/>
  <c r="C36"/>
  <c r="E35"/>
  <c r="E34"/>
  <c r="E33"/>
  <c r="E32"/>
  <c r="E31"/>
  <c r="E30"/>
  <c r="E29"/>
  <c r="F28"/>
  <c r="E28" s="1"/>
  <c r="C27"/>
  <c r="F25"/>
  <c r="C25"/>
  <c r="J24"/>
  <c r="K24" s="1"/>
  <c r="J23"/>
  <c r="K23" s="1"/>
  <c r="H23"/>
  <c r="G23" s="1"/>
  <c r="E23"/>
  <c r="F21"/>
  <c r="C21"/>
  <c r="J20"/>
  <c r="K20" s="1"/>
  <c r="H20"/>
  <c r="I20" s="1"/>
  <c r="J19"/>
  <c r="K19" s="1"/>
  <c r="H19"/>
  <c r="D19"/>
  <c r="J18"/>
  <c r="K18" s="1"/>
  <c r="H18"/>
  <c r="I18" s="1"/>
  <c r="D18"/>
  <c r="J17"/>
  <c r="K17" s="1"/>
  <c r="H17"/>
  <c r="D17"/>
  <c r="J16"/>
  <c r="K16" s="1"/>
  <c r="H16"/>
  <c r="I16" s="1"/>
  <c r="F14"/>
  <c r="C14"/>
  <c r="L13"/>
  <c r="F58" i="23"/>
  <c r="H58" s="1"/>
  <c r="G58" s="1"/>
  <c r="F46"/>
  <c r="E46" s="1"/>
  <c r="F44"/>
  <c r="F57"/>
  <c r="E57" s="1"/>
  <c r="D57" s="1"/>
  <c r="F59"/>
  <c r="J59" s="1"/>
  <c r="K59" s="1"/>
  <c r="F41"/>
  <c r="E41" s="1"/>
  <c r="F40"/>
  <c r="F34"/>
  <c r="E34" s="1"/>
  <c r="D34" s="1"/>
  <c r="F33"/>
  <c r="J33" s="1"/>
  <c r="K33" s="1"/>
  <c r="F32"/>
  <c r="J32" s="1"/>
  <c r="K32" s="1"/>
  <c r="F31"/>
  <c r="J31" s="1"/>
  <c r="K31" s="1"/>
  <c r="F30"/>
  <c r="E30" s="1"/>
  <c r="D30" s="1"/>
  <c r="F29"/>
  <c r="J29" s="1"/>
  <c r="K29" s="1"/>
  <c r="F28"/>
  <c r="J28" s="1"/>
  <c r="K28" s="1"/>
  <c r="F67"/>
  <c r="J67" s="1"/>
  <c r="K67" s="1"/>
  <c r="F35"/>
  <c r="E35" s="1"/>
  <c r="D35" s="1"/>
  <c r="F42"/>
  <c r="J42" s="1"/>
  <c r="K42" s="1"/>
  <c r="F22"/>
  <c r="J22" s="1"/>
  <c r="K22" s="1"/>
  <c r="F54"/>
  <c r="E54" s="1"/>
  <c r="D54" s="1"/>
  <c r="F26"/>
  <c r="F15"/>
  <c r="E15" s="1"/>
  <c r="F24"/>
  <c r="E24" s="1"/>
  <c r="J72"/>
  <c r="K72" s="1"/>
  <c r="H72"/>
  <c r="G72" s="1"/>
  <c r="E72"/>
  <c r="F71"/>
  <c r="J71" s="1"/>
  <c r="K71" s="1"/>
  <c r="J70"/>
  <c r="K70" s="1"/>
  <c r="H70"/>
  <c r="G70" s="1"/>
  <c r="E70"/>
  <c r="C69"/>
  <c r="C68" s="1"/>
  <c r="H67"/>
  <c r="G67" s="1"/>
  <c r="J66"/>
  <c r="K66" s="1"/>
  <c r="H66"/>
  <c r="G66" s="1"/>
  <c r="E66"/>
  <c r="C65"/>
  <c r="L64"/>
  <c r="J63"/>
  <c r="K63" s="1"/>
  <c r="H63"/>
  <c r="G63" s="1"/>
  <c r="E63"/>
  <c r="J62"/>
  <c r="K62" s="1"/>
  <c r="H62"/>
  <c r="G62" s="1"/>
  <c r="E62"/>
  <c r="I62" s="1"/>
  <c r="J61"/>
  <c r="K61" s="1"/>
  <c r="H61"/>
  <c r="G61" s="1"/>
  <c r="E61"/>
  <c r="C60"/>
  <c r="J58"/>
  <c r="K58" s="1"/>
  <c r="E58"/>
  <c r="C56"/>
  <c r="J54"/>
  <c r="K54" s="1"/>
  <c r="J53"/>
  <c r="K53" s="1"/>
  <c r="H53"/>
  <c r="G53" s="1"/>
  <c r="E53"/>
  <c r="I53" s="1"/>
  <c r="C52"/>
  <c r="J51"/>
  <c r="K51" s="1"/>
  <c r="H51"/>
  <c r="G51" s="1"/>
  <c r="G50" s="1"/>
  <c r="G49" s="1"/>
  <c r="E51"/>
  <c r="H50"/>
  <c r="H49" s="1"/>
  <c r="F50"/>
  <c r="C50"/>
  <c r="C49" s="1"/>
  <c r="F48"/>
  <c r="E48" s="1"/>
  <c r="D48" s="1"/>
  <c r="J47"/>
  <c r="K47" s="1"/>
  <c r="H47"/>
  <c r="G47" s="1"/>
  <c r="E47"/>
  <c r="J46"/>
  <c r="K46" s="1"/>
  <c r="J45"/>
  <c r="K45" s="1"/>
  <c r="H45"/>
  <c r="G45" s="1"/>
  <c r="E45"/>
  <c r="J44"/>
  <c r="K44" s="1"/>
  <c r="C43"/>
  <c r="E42"/>
  <c r="C39"/>
  <c r="J38"/>
  <c r="K38" s="1"/>
  <c r="H38"/>
  <c r="G38" s="1"/>
  <c r="G36" s="1"/>
  <c r="E38"/>
  <c r="J37"/>
  <c r="K37" s="1"/>
  <c r="H37"/>
  <c r="G37" s="1"/>
  <c r="E37"/>
  <c r="I37" s="1"/>
  <c r="F36"/>
  <c r="C36"/>
  <c r="J34"/>
  <c r="K34" s="1"/>
  <c r="E33"/>
  <c r="D33" s="1"/>
  <c r="E32"/>
  <c r="D32" s="1"/>
  <c r="E31"/>
  <c r="D31" s="1"/>
  <c r="J30"/>
  <c r="K30" s="1"/>
  <c r="E29"/>
  <c r="D29" s="1"/>
  <c r="E28"/>
  <c r="D28" s="1"/>
  <c r="C27"/>
  <c r="J26"/>
  <c r="K26" s="1"/>
  <c r="D26"/>
  <c r="E25"/>
  <c r="D25"/>
  <c r="C25"/>
  <c r="J23"/>
  <c r="K23" s="1"/>
  <c r="H23"/>
  <c r="G23" s="1"/>
  <c r="E23"/>
  <c r="E22"/>
  <c r="D22" s="1"/>
  <c r="C21"/>
  <c r="J20"/>
  <c r="K20" s="1"/>
  <c r="H20"/>
  <c r="E20"/>
  <c r="D20" s="1"/>
  <c r="J19"/>
  <c r="K19" s="1"/>
  <c r="H19"/>
  <c r="I19" s="1"/>
  <c r="E19"/>
  <c r="D19" s="1"/>
  <c r="J18"/>
  <c r="K18" s="1"/>
  <c r="H18"/>
  <c r="E18"/>
  <c r="D18" s="1"/>
  <c r="J17"/>
  <c r="K17" s="1"/>
  <c r="H17"/>
  <c r="I17" s="1"/>
  <c r="E17"/>
  <c r="D17" s="1"/>
  <c r="J16"/>
  <c r="K16" s="1"/>
  <c r="H16"/>
  <c r="E16"/>
  <c r="D16" s="1"/>
  <c r="J15"/>
  <c r="K15" s="1"/>
  <c r="F14"/>
  <c r="C14"/>
  <c r="L13"/>
  <c r="F35" i="20"/>
  <c r="F34"/>
  <c r="F33"/>
  <c r="F31"/>
  <c r="F30"/>
  <c r="H30" s="1"/>
  <c r="G30" s="1"/>
  <c r="F29"/>
  <c r="F41"/>
  <c r="F40"/>
  <c r="F59"/>
  <c r="F32"/>
  <c r="F28"/>
  <c r="F48"/>
  <c r="F46"/>
  <c r="F44"/>
  <c r="F57"/>
  <c r="H57" s="1"/>
  <c r="F65"/>
  <c r="F64" s="1"/>
  <c r="L64"/>
  <c r="J67"/>
  <c r="K67" s="1"/>
  <c r="H67"/>
  <c r="G67" s="1"/>
  <c r="E67"/>
  <c r="J66"/>
  <c r="K66" s="1"/>
  <c r="H66"/>
  <c r="G66" s="1"/>
  <c r="E66"/>
  <c r="C65"/>
  <c r="C64" s="1"/>
  <c r="F42"/>
  <c r="H59"/>
  <c r="J30"/>
  <c r="K30" s="1"/>
  <c r="E63"/>
  <c r="H58"/>
  <c r="F42" i="18"/>
  <c r="G65" i="20" l="1"/>
  <c r="J35" i="23"/>
  <c r="K35" s="1"/>
  <c r="J57"/>
  <c r="K57" s="1"/>
  <c r="I23" i="24"/>
  <c r="J26"/>
  <c r="K26" s="1"/>
  <c r="I47"/>
  <c r="F12" i="25"/>
  <c r="C13" i="23"/>
  <c r="K13" i="27"/>
  <c r="J12"/>
  <c r="K12" s="1"/>
  <c r="H12"/>
  <c r="E12"/>
  <c r="F11"/>
  <c r="J11" s="1"/>
  <c r="K11" s="1"/>
  <c r="I13"/>
  <c r="G13"/>
  <c r="I66" i="20"/>
  <c r="D37" i="23"/>
  <c r="I51"/>
  <c r="I50" s="1"/>
  <c r="I49" s="1"/>
  <c r="E52"/>
  <c r="D62"/>
  <c r="F69"/>
  <c r="F68" s="1"/>
  <c r="J68" s="1"/>
  <c r="K68" s="1"/>
  <c r="E71"/>
  <c r="E69" s="1"/>
  <c r="I17" i="24"/>
  <c r="I19"/>
  <c r="D23"/>
  <c r="I38"/>
  <c r="I36" s="1"/>
  <c r="I51"/>
  <c r="I50" s="1"/>
  <c r="I49" s="1"/>
  <c r="C55"/>
  <c r="I61"/>
  <c r="I63"/>
  <c r="F65"/>
  <c r="F64" s="1"/>
  <c r="I70"/>
  <c r="H72"/>
  <c r="G72" s="1"/>
  <c r="H64" i="25"/>
  <c r="E12" i="26"/>
  <c r="F11"/>
  <c r="J11" s="1"/>
  <c r="K11" s="1"/>
  <c r="H12"/>
  <c r="I13"/>
  <c r="G13"/>
  <c r="D66" i="20"/>
  <c r="D65" s="1"/>
  <c r="E65" s="1"/>
  <c r="E64" s="1"/>
  <c r="J14" i="23"/>
  <c r="K14" s="1"/>
  <c r="I16"/>
  <c r="G17"/>
  <c r="I18"/>
  <c r="G19"/>
  <c r="I20"/>
  <c r="J36"/>
  <c r="K36" s="1"/>
  <c r="I45"/>
  <c r="D53"/>
  <c r="D52" s="1"/>
  <c r="D49" s="1"/>
  <c r="I70"/>
  <c r="E14" i="24"/>
  <c r="D14" s="1"/>
  <c r="H14"/>
  <c r="G14" s="1"/>
  <c r="G16"/>
  <c r="G20"/>
  <c r="J21"/>
  <c r="K21" s="1"/>
  <c r="D41"/>
  <c r="D39" s="1"/>
  <c r="D47"/>
  <c r="D70"/>
  <c r="F43" i="23"/>
  <c r="J43" s="1"/>
  <c r="K43" s="1"/>
  <c r="J36" i="24"/>
  <c r="K36" s="1"/>
  <c r="E36"/>
  <c r="D36" s="1"/>
  <c r="H36"/>
  <c r="G36" s="1"/>
  <c r="I62"/>
  <c r="I13" i="25"/>
  <c r="G13"/>
  <c r="K13"/>
  <c r="J12"/>
  <c r="K12" s="1"/>
  <c r="H12"/>
  <c r="F11"/>
  <c r="J11" s="1"/>
  <c r="K11" s="1"/>
  <c r="E12"/>
  <c r="G39"/>
  <c r="I39"/>
  <c r="C10"/>
  <c r="I69"/>
  <c r="I68" s="1"/>
  <c r="D64" i="20"/>
  <c r="D26" i="24"/>
  <c r="D25" s="1"/>
  <c r="E25"/>
  <c r="D15" i="23"/>
  <c r="D14" s="1"/>
  <c r="E14"/>
  <c r="I23"/>
  <c r="F27"/>
  <c r="J27" s="1"/>
  <c r="K27" s="1"/>
  <c r="H36"/>
  <c r="D45"/>
  <c r="H48"/>
  <c r="G48" s="1"/>
  <c r="E50"/>
  <c r="E49" s="1"/>
  <c r="F52"/>
  <c r="J52" s="1"/>
  <c r="K52" s="1"/>
  <c r="F65"/>
  <c r="F64" s="1"/>
  <c r="E67"/>
  <c r="I67" s="1"/>
  <c r="D70"/>
  <c r="J14" i="24"/>
  <c r="K14" s="1"/>
  <c r="G18"/>
  <c r="J25"/>
  <c r="K25" s="1"/>
  <c r="F27"/>
  <c r="D38"/>
  <c r="F39"/>
  <c r="J39" s="1"/>
  <c r="K39" s="1"/>
  <c r="E48"/>
  <c r="D48" s="1"/>
  <c r="I53"/>
  <c r="D62"/>
  <c r="E66"/>
  <c r="D66" s="1"/>
  <c r="C68"/>
  <c r="F69"/>
  <c r="E71"/>
  <c r="D71" s="1"/>
  <c r="E72"/>
  <c r="I72" s="1"/>
  <c r="F56"/>
  <c r="I66"/>
  <c r="D15"/>
  <c r="G22"/>
  <c r="H15"/>
  <c r="I15" s="1"/>
  <c r="J15"/>
  <c r="K15" s="1"/>
  <c r="J22"/>
  <c r="K22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I37"/>
  <c r="D37"/>
  <c r="I45"/>
  <c r="D45"/>
  <c r="J46"/>
  <c r="K46" s="1"/>
  <c r="E46"/>
  <c r="F43"/>
  <c r="C13"/>
  <c r="G17"/>
  <c r="G19"/>
  <c r="E22"/>
  <c r="D28"/>
  <c r="H28"/>
  <c r="D29"/>
  <c r="H29"/>
  <c r="G29" s="1"/>
  <c r="D30"/>
  <c r="H30"/>
  <c r="G30" s="1"/>
  <c r="D31"/>
  <c r="H31"/>
  <c r="G31" s="1"/>
  <c r="D32"/>
  <c r="H32"/>
  <c r="G32" s="1"/>
  <c r="D33"/>
  <c r="H33"/>
  <c r="G33" s="1"/>
  <c r="D34"/>
  <c r="H34"/>
  <c r="G34" s="1"/>
  <c r="D35"/>
  <c r="H35"/>
  <c r="G35" s="1"/>
  <c r="E39"/>
  <c r="I42"/>
  <c r="J42"/>
  <c r="K42" s="1"/>
  <c r="H46"/>
  <c r="G46" s="1"/>
  <c r="H24"/>
  <c r="G24" s="1"/>
  <c r="H26"/>
  <c r="H40"/>
  <c r="H41"/>
  <c r="G41" s="1"/>
  <c r="H44"/>
  <c r="H48"/>
  <c r="C49"/>
  <c r="H50"/>
  <c r="H49" s="1"/>
  <c r="D51"/>
  <c r="D50" s="1"/>
  <c r="F52"/>
  <c r="F49" s="1"/>
  <c r="D53"/>
  <c r="D52" s="1"/>
  <c r="D49" s="1"/>
  <c r="E54"/>
  <c r="E57"/>
  <c r="E58"/>
  <c r="E59"/>
  <c r="D61"/>
  <c r="D60" s="1"/>
  <c r="E60" s="1"/>
  <c r="F60" s="1"/>
  <c r="G60" s="1"/>
  <c r="H60" s="1"/>
  <c r="I60" s="1"/>
  <c r="D63"/>
  <c r="E67"/>
  <c r="H54"/>
  <c r="G54" s="1"/>
  <c r="G52" s="1"/>
  <c r="H57"/>
  <c r="H58"/>
  <c r="G58" s="1"/>
  <c r="H59"/>
  <c r="G59" s="1"/>
  <c r="H67"/>
  <c r="G67" s="1"/>
  <c r="H71"/>
  <c r="D27" i="23"/>
  <c r="G65"/>
  <c r="G64" s="1"/>
  <c r="D67"/>
  <c r="F49"/>
  <c r="J49" s="1"/>
  <c r="K49" s="1"/>
  <c r="D51"/>
  <c r="D50" s="1"/>
  <c r="D24"/>
  <c r="E21"/>
  <c r="H24"/>
  <c r="G24" s="1"/>
  <c r="J24"/>
  <c r="K24" s="1"/>
  <c r="H26"/>
  <c r="I38"/>
  <c r="I36" s="1"/>
  <c r="D38"/>
  <c r="D36" s="1"/>
  <c r="E36"/>
  <c r="E40"/>
  <c r="F39"/>
  <c r="J39" s="1"/>
  <c r="K39" s="1"/>
  <c r="J40"/>
  <c r="K40" s="1"/>
  <c r="J41"/>
  <c r="K41" s="1"/>
  <c r="D46"/>
  <c r="J50"/>
  <c r="K50" s="1"/>
  <c r="C55"/>
  <c r="I58"/>
  <c r="D58"/>
  <c r="I61"/>
  <c r="D61"/>
  <c r="D60" s="1"/>
  <c r="E60" s="1"/>
  <c r="F60" s="1"/>
  <c r="G60" s="1"/>
  <c r="H60" s="1"/>
  <c r="I60" s="1"/>
  <c r="I63"/>
  <c r="D63"/>
  <c r="C64"/>
  <c r="I66"/>
  <c r="D66"/>
  <c r="D65" s="1"/>
  <c r="H15"/>
  <c r="G16"/>
  <c r="G18"/>
  <c r="G20"/>
  <c r="F21"/>
  <c r="J21" s="1"/>
  <c r="K21" s="1"/>
  <c r="H22"/>
  <c r="D23"/>
  <c r="F25"/>
  <c r="J25" s="1"/>
  <c r="K25" s="1"/>
  <c r="E27"/>
  <c r="H40"/>
  <c r="D41"/>
  <c r="D39" s="1"/>
  <c r="H41"/>
  <c r="G41" s="1"/>
  <c r="E44"/>
  <c r="H44"/>
  <c r="E59"/>
  <c r="F56"/>
  <c r="H59"/>
  <c r="G59" s="1"/>
  <c r="I72"/>
  <c r="D72"/>
  <c r="H28"/>
  <c r="I28" s="1"/>
  <c r="H29"/>
  <c r="H30"/>
  <c r="G30" s="1"/>
  <c r="H31"/>
  <c r="H32"/>
  <c r="G32" s="1"/>
  <c r="H33"/>
  <c r="H34"/>
  <c r="G34" s="1"/>
  <c r="H35"/>
  <c r="H42"/>
  <c r="I47"/>
  <c r="D47"/>
  <c r="I48"/>
  <c r="J48"/>
  <c r="K48" s="1"/>
  <c r="J60"/>
  <c r="K60" s="1"/>
  <c r="J69"/>
  <c r="K69" s="1"/>
  <c r="D71"/>
  <c r="H46"/>
  <c r="G46" s="1"/>
  <c r="H54"/>
  <c r="H57"/>
  <c r="H71"/>
  <c r="I67" i="20"/>
  <c r="J65"/>
  <c r="D67"/>
  <c r="F71"/>
  <c r="J71" s="1"/>
  <c r="K71" s="1"/>
  <c r="F54"/>
  <c r="E54" s="1"/>
  <c r="D54" s="1"/>
  <c r="F26"/>
  <c r="J26" s="1"/>
  <c r="K26" s="1"/>
  <c r="F24"/>
  <c r="J24" s="1"/>
  <c r="K24" s="1"/>
  <c r="F15"/>
  <c r="E15" s="1"/>
  <c r="F22"/>
  <c r="F21" s="1"/>
  <c r="J72"/>
  <c r="K72" s="1"/>
  <c r="H72"/>
  <c r="G72" s="1"/>
  <c r="E72"/>
  <c r="J70"/>
  <c r="K70" s="1"/>
  <c r="H70"/>
  <c r="E70"/>
  <c r="C69"/>
  <c r="C68" s="1"/>
  <c r="J63"/>
  <c r="K63" s="1"/>
  <c r="H63"/>
  <c r="G63" s="1"/>
  <c r="J62"/>
  <c r="K62" s="1"/>
  <c r="H62"/>
  <c r="G62" s="1"/>
  <c r="E62"/>
  <c r="J61"/>
  <c r="K61" s="1"/>
  <c r="H61"/>
  <c r="G61" s="1"/>
  <c r="E61"/>
  <c r="C60"/>
  <c r="J59"/>
  <c r="K59" s="1"/>
  <c r="G59"/>
  <c r="E59"/>
  <c r="J58"/>
  <c r="K58" s="1"/>
  <c r="G58"/>
  <c r="E58"/>
  <c r="I58" s="1"/>
  <c r="J57"/>
  <c r="K57" s="1"/>
  <c r="E57"/>
  <c r="F56"/>
  <c r="C56"/>
  <c r="J54"/>
  <c r="K54" s="1"/>
  <c r="J53"/>
  <c r="K53" s="1"/>
  <c r="H53"/>
  <c r="G53" s="1"/>
  <c r="E53"/>
  <c r="C52"/>
  <c r="J51"/>
  <c r="K51" s="1"/>
  <c r="H51"/>
  <c r="G51" s="1"/>
  <c r="G50" s="1"/>
  <c r="G49" s="1"/>
  <c r="E51"/>
  <c r="E50" s="1"/>
  <c r="E49" s="1"/>
  <c r="H50"/>
  <c r="H49" s="1"/>
  <c r="F50"/>
  <c r="C50"/>
  <c r="J48"/>
  <c r="K48" s="1"/>
  <c r="H48"/>
  <c r="G48" s="1"/>
  <c r="E48"/>
  <c r="J47"/>
  <c r="K47" s="1"/>
  <c r="H47"/>
  <c r="G47" s="1"/>
  <c r="E47"/>
  <c r="J46"/>
  <c r="K46" s="1"/>
  <c r="H46"/>
  <c r="G46" s="1"/>
  <c r="E46"/>
  <c r="J45"/>
  <c r="K45" s="1"/>
  <c r="H45"/>
  <c r="G45" s="1"/>
  <c r="E45"/>
  <c r="J44"/>
  <c r="K44" s="1"/>
  <c r="H44"/>
  <c r="E44"/>
  <c r="F43"/>
  <c r="C43"/>
  <c r="E42"/>
  <c r="J41"/>
  <c r="K41" s="1"/>
  <c r="H41"/>
  <c r="G41" s="1"/>
  <c r="E41"/>
  <c r="J40"/>
  <c r="K40" s="1"/>
  <c r="H40"/>
  <c r="G40" s="1"/>
  <c r="E40"/>
  <c r="C39"/>
  <c r="J38"/>
  <c r="K38" s="1"/>
  <c r="H38"/>
  <c r="G38" s="1"/>
  <c r="G36" s="1"/>
  <c r="E38"/>
  <c r="E36" s="1"/>
  <c r="J37"/>
  <c r="K37" s="1"/>
  <c r="H37"/>
  <c r="G37" s="1"/>
  <c r="E37"/>
  <c r="D37" s="1"/>
  <c r="F36"/>
  <c r="C36"/>
  <c r="J35"/>
  <c r="K35" s="1"/>
  <c r="H35"/>
  <c r="G35" s="1"/>
  <c r="E35"/>
  <c r="J34"/>
  <c r="K34" s="1"/>
  <c r="H34"/>
  <c r="G34" s="1"/>
  <c r="E34"/>
  <c r="J33"/>
  <c r="K33" s="1"/>
  <c r="H33"/>
  <c r="G33" s="1"/>
  <c r="E33"/>
  <c r="J32"/>
  <c r="K32" s="1"/>
  <c r="H32"/>
  <c r="G32" s="1"/>
  <c r="E32"/>
  <c r="J31"/>
  <c r="K31" s="1"/>
  <c r="H31"/>
  <c r="G31" s="1"/>
  <c r="E31"/>
  <c r="E30"/>
  <c r="J29"/>
  <c r="K29" s="1"/>
  <c r="H29"/>
  <c r="G29" s="1"/>
  <c r="E29"/>
  <c r="J28"/>
  <c r="K28" s="1"/>
  <c r="H28"/>
  <c r="G28" s="1"/>
  <c r="E28"/>
  <c r="F27"/>
  <c r="C27"/>
  <c r="D26"/>
  <c r="D25" s="1"/>
  <c r="E25"/>
  <c r="C25"/>
  <c r="E24"/>
  <c r="D24" s="1"/>
  <c r="J23"/>
  <c r="K23" s="1"/>
  <c r="H23"/>
  <c r="G23" s="1"/>
  <c r="E23"/>
  <c r="E22"/>
  <c r="C21"/>
  <c r="J20"/>
  <c r="K20" s="1"/>
  <c r="H20"/>
  <c r="G20" s="1"/>
  <c r="E20"/>
  <c r="J19"/>
  <c r="K19" s="1"/>
  <c r="H19"/>
  <c r="E19"/>
  <c r="D19" s="1"/>
  <c r="J18"/>
  <c r="K18" s="1"/>
  <c r="H18"/>
  <c r="G18" s="1"/>
  <c r="E18"/>
  <c r="D18" s="1"/>
  <c r="J17"/>
  <c r="K17" s="1"/>
  <c r="H17"/>
  <c r="E17"/>
  <c r="D17" s="1"/>
  <c r="J16"/>
  <c r="K16" s="1"/>
  <c r="H16"/>
  <c r="E16"/>
  <c r="D16" s="1"/>
  <c r="C14"/>
  <c r="L13"/>
  <c r="C12" i="23" l="1"/>
  <c r="C11" s="1"/>
  <c r="I20" i="20"/>
  <c r="C49"/>
  <c r="I51"/>
  <c r="I50" s="1"/>
  <c r="I49" s="1"/>
  <c r="F52"/>
  <c r="F55" i="23"/>
  <c r="J65"/>
  <c r="K65" s="1"/>
  <c r="K64" s="1"/>
  <c r="H65"/>
  <c r="F14" i="20"/>
  <c r="J14" s="1"/>
  <c r="K14" s="1"/>
  <c r="D51"/>
  <c r="D50" s="1"/>
  <c r="I62"/>
  <c r="H71"/>
  <c r="G71" s="1"/>
  <c r="E65" i="24"/>
  <c r="D65" s="1"/>
  <c r="D12" i="27"/>
  <c r="D11" s="1"/>
  <c r="E11"/>
  <c r="I12"/>
  <c r="I11" s="1"/>
  <c r="G12"/>
  <c r="G11" s="1"/>
  <c r="H11"/>
  <c r="C13" i="20"/>
  <c r="D20"/>
  <c r="J21"/>
  <c r="K21" s="1"/>
  <c r="I23"/>
  <c r="F25"/>
  <c r="J25" s="1"/>
  <c r="K25" s="1"/>
  <c r="J27"/>
  <c r="K27" s="1"/>
  <c r="H36"/>
  <c r="I38"/>
  <c r="I36" s="1"/>
  <c r="I53"/>
  <c r="F69"/>
  <c r="F68" s="1"/>
  <c r="E71"/>
  <c r="E69" s="1"/>
  <c r="D72" i="24"/>
  <c r="J65"/>
  <c r="K65" s="1"/>
  <c r="K64" s="1"/>
  <c r="H65"/>
  <c r="G65" s="1"/>
  <c r="I12" i="26"/>
  <c r="I11" s="1"/>
  <c r="G12"/>
  <c r="G11" s="1"/>
  <c r="H11"/>
  <c r="D12"/>
  <c r="D11" s="1"/>
  <c r="E11"/>
  <c r="J56" i="24"/>
  <c r="K56" s="1"/>
  <c r="E56"/>
  <c r="D56" s="1"/>
  <c r="H56"/>
  <c r="D38" i="20"/>
  <c r="D36" s="1"/>
  <c r="J68"/>
  <c r="K68" s="1"/>
  <c r="F13" i="24"/>
  <c r="E43"/>
  <c r="D43" s="1"/>
  <c r="H43"/>
  <c r="F68"/>
  <c r="E68" s="1"/>
  <c r="E69"/>
  <c r="D69" s="1"/>
  <c r="D68" s="1"/>
  <c r="H69"/>
  <c r="G69" s="1"/>
  <c r="J27"/>
  <c r="K27" s="1"/>
  <c r="H27"/>
  <c r="E27"/>
  <c r="D27" s="1"/>
  <c r="D12" i="25"/>
  <c r="D11" s="1"/>
  <c r="E11"/>
  <c r="G12"/>
  <c r="G11" s="1"/>
  <c r="H11"/>
  <c r="I12"/>
  <c r="I11" s="1"/>
  <c r="J52" i="20"/>
  <c r="K52" s="1"/>
  <c r="J60" i="24"/>
  <c r="K60" s="1"/>
  <c r="J36" i="20"/>
  <c r="K36" s="1"/>
  <c r="E52"/>
  <c r="D53"/>
  <c r="D52" s="1"/>
  <c r="D49" s="1"/>
  <c r="D21" i="23"/>
  <c r="I33" i="24"/>
  <c r="I32"/>
  <c r="J69"/>
  <c r="K69" s="1"/>
  <c r="I35"/>
  <c r="I30"/>
  <c r="I29"/>
  <c r="I31"/>
  <c r="I34"/>
  <c r="J43"/>
  <c r="K43" s="1"/>
  <c r="J64"/>
  <c r="J49"/>
  <c r="K49" s="1"/>
  <c r="G64"/>
  <c r="D67"/>
  <c r="I67"/>
  <c r="D59"/>
  <c r="I59"/>
  <c r="D57"/>
  <c r="I57"/>
  <c r="E55"/>
  <c r="D54"/>
  <c r="I54"/>
  <c r="I52" s="1"/>
  <c r="H52"/>
  <c r="G44"/>
  <c r="I44"/>
  <c r="G40"/>
  <c r="H39"/>
  <c r="G39" s="1"/>
  <c r="I40"/>
  <c r="I39"/>
  <c r="I24"/>
  <c r="J13"/>
  <c r="C12"/>
  <c r="C11" s="1"/>
  <c r="I46"/>
  <c r="D46"/>
  <c r="G15"/>
  <c r="I14"/>
  <c r="G71"/>
  <c r="G68" s="1"/>
  <c r="H55"/>
  <c r="G57"/>
  <c r="I71"/>
  <c r="I69" s="1"/>
  <c r="I68" s="1"/>
  <c r="D64"/>
  <c r="D58"/>
  <c r="I58"/>
  <c r="F55"/>
  <c r="J55" s="1"/>
  <c r="K55" s="1"/>
  <c r="G48"/>
  <c r="I48"/>
  <c r="G26"/>
  <c r="H25"/>
  <c r="I26"/>
  <c r="J52"/>
  <c r="K52" s="1"/>
  <c r="I41"/>
  <c r="G28"/>
  <c r="G27"/>
  <c r="I22"/>
  <c r="E21"/>
  <c r="D22"/>
  <c r="D21" s="1"/>
  <c r="E13"/>
  <c r="D13" s="1"/>
  <c r="H13"/>
  <c r="I28"/>
  <c r="H21"/>
  <c r="G21" s="1"/>
  <c r="H64" i="23"/>
  <c r="I65"/>
  <c r="I64" s="1"/>
  <c r="J55"/>
  <c r="K55" s="1"/>
  <c r="I32"/>
  <c r="I41"/>
  <c r="G71"/>
  <c r="G69" s="1"/>
  <c r="G68" s="1"/>
  <c r="I71"/>
  <c r="I69" s="1"/>
  <c r="I68" s="1"/>
  <c r="H69"/>
  <c r="H68" s="1"/>
  <c r="G54"/>
  <c r="G52" s="1"/>
  <c r="I54"/>
  <c r="I52" s="1"/>
  <c r="H52"/>
  <c r="G35"/>
  <c r="I35"/>
  <c r="G33"/>
  <c r="I33"/>
  <c r="G31"/>
  <c r="I31"/>
  <c r="G29"/>
  <c r="I29"/>
  <c r="I59"/>
  <c r="D59"/>
  <c r="D56" s="1"/>
  <c r="D55" s="1"/>
  <c r="I44"/>
  <c r="D44"/>
  <c r="D43" s="1"/>
  <c r="E43"/>
  <c r="H21"/>
  <c r="G21" s="1"/>
  <c r="G22"/>
  <c r="C10"/>
  <c r="J64"/>
  <c r="I22"/>
  <c r="H56"/>
  <c r="H55" s="1"/>
  <c r="G57"/>
  <c r="G56" s="1"/>
  <c r="G55" s="1"/>
  <c r="I57"/>
  <c r="D69"/>
  <c r="D68" s="1"/>
  <c r="G42"/>
  <c r="I42"/>
  <c r="H27"/>
  <c r="G27" s="1"/>
  <c r="G28"/>
  <c r="G44"/>
  <c r="G40"/>
  <c r="H39"/>
  <c r="G39" s="1"/>
  <c r="I34"/>
  <c r="I30"/>
  <c r="F13"/>
  <c r="H14"/>
  <c r="I14" s="1"/>
  <c r="I15"/>
  <c r="G15"/>
  <c r="G14" s="1"/>
  <c r="D64"/>
  <c r="E65"/>
  <c r="E64" s="1"/>
  <c r="E56"/>
  <c r="E55" s="1"/>
  <c r="J56"/>
  <c r="K56" s="1"/>
  <c r="I46"/>
  <c r="I40"/>
  <c r="E39"/>
  <c r="I26"/>
  <c r="G26"/>
  <c r="H25"/>
  <c r="I24"/>
  <c r="J43" i="20"/>
  <c r="K43" s="1"/>
  <c r="E43"/>
  <c r="H65"/>
  <c r="G64"/>
  <c r="K65"/>
  <c r="K64" s="1"/>
  <c r="J64"/>
  <c r="D58"/>
  <c r="I16"/>
  <c r="G16"/>
  <c r="I18"/>
  <c r="D23"/>
  <c r="I31"/>
  <c r="I45"/>
  <c r="I47"/>
  <c r="D62"/>
  <c r="I17"/>
  <c r="I19"/>
  <c r="I35"/>
  <c r="D45"/>
  <c r="D47"/>
  <c r="D31"/>
  <c r="D30"/>
  <c r="I30"/>
  <c r="I29"/>
  <c r="D35"/>
  <c r="I33"/>
  <c r="H27"/>
  <c r="G27" s="1"/>
  <c r="D33"/>
  <c r="I28"/>
  <c r="I41"/>
  <c r="I32"/>
  <c r="E27"/>
  <c r="D28"/>
  <c r="D41"/>
  <c r="D39" s="1"/>
  <c r="I34"/>
  <c r="F49"/>
  <c r="J49" s="1"/>
  <c r="K49" s="1"/>
  <c r="E14"/>
  <c r="D15"/>
  <c r="D14" s="1"/>
  <c r="E21"/>
  <c r="D22"/>
  <c r="H15"/>
  <c r="J15"/>
  <c r="K15" s="1"/>
  <c r="H22"/>
  <c r="J22"/>
  <c r="K22" s="1"/>
  <c r="I40"/>
  <c r="E39"/>
  <c r="J42"/>
  <c r="K42" s="1"/>
  <c r="G44"/>
  <c r="J50"/>
  <c r="K50" s="1"/>
  <c r="J56"/>
  <c r="K56" s="1"/>
  <c r="C55"/>
  <c r="I57"/>
  <c r="D57"/>
  <c r="I59"/>
  <c r="D59"/>
  <c r="I61"/>
  <c r="D61"/>
  <c r="D60" s="1"/>
  <c r="E60" s="1"/>
  <c r="F60" s="1"/>
  <c r="I63"/>
  <c r="D63"/>
  <c r="G70"/>
  <c r="G69" s="1"/>
  <c r="G68" s="1"/>
  <c r="H69"/>
  <c r="H68" s="1"/>
  <c r="G17"/>
  <c r="G19"/>
  <c r="H24"/>
  <c r="G24" s="1"/>
  <c r="H26"/>
  <c r="D29"/>
  <c r="D32"/>
  <c r="D34"/>
  <c r="I37"/>
  <c r="F39"/>
  <c r="H42"/>
  <c r="I44"/>
  <c r="D44"/>
  <c r="I46"/>
  <c r="D46"/>
  <c r="I48"/>
  <c r="D48"/>
  <c r="E56"/>
  <c r="E55" s="1"/>
  <c r="G57"/>
  <c r="G56" s="1"/>
  <c r="H56"/>
  <c r="J60"/>
  <c r="K60" s="1"/>
  <c r="I70"/>
  <c r="D70"/>
  <c r="I72"/>
  <c r="D72"/>
  <c r="H54"/>
  <c r="F54" i="18"/>
  <c r="F26"/>
  <c r="J26" s="1"/>
  <c r="K26" s="1"/>
  <c r="F24"/>
  <c r="F15"/>
  <c r="J15" s="1"/>
  <c r="K15" s="1"/>
  <c r="F22"/>
  <c r="J68"/>
  <c r="K68" s="1"/>
  <c r="H68"/>
  <c r="G68" s="1"/>
  <c r="E68"/>
  <c r="J67"/>
  <c r="K67" s="1"/>
  <c r="H67"/>
  <c r="G67" s="1"/>
  <c r="E67"/>
  <c r="J66"/>
  <c r="K66" s="1"/>
  <c r="H66"/>
  <c r="G66" s="1"/>
  <c r="E66"/>
  <c r="F65"/>
  <c r="C65"/>
  <c r="F64"/>
  <c r="J63"/>
  <c r="K63" s="1"/>
  <c r="H63"/>
  <c r="G63" s="1"/>
  <c r="E63"/>
  <c r="J62"/>
  <c r="K62" s="1"/>
  <c r="H62"/>
  <c r="G62" s="1"/>
  <c r="E62"/>
  <c r="J61"/>
  <c r="K61" s="1"/>
  <c r="H61"/>
  <c r="G61" s="1"/>
  <c r="E61"/>
  <c r="C60"/>
  <c r="J59"/>
  <c r="K59" s="1"/>
  <c r="H59"/>
  <c r="G59" s="1"/>
  <c r="E59"/>
  <c r="J58"/>
  <c r="K58" s="1"/>
  <c r="H58"/>
  <c r="G58" s="1"/>
  <c r="E58"/>
  <c r="J57"/>
  <c r="K57" s="1"/>
  <c r="H57"/>
  <c r="G57" s="1"/>
  <c r="E57"/>
  <c r="F56"/>
  <c r="C56"/>
  <c r="J54"/>
  <c r="K54" s="1"/>
  <c r="E54"/>
  <c r="D54" s="1"/>
  <c r="J53"/>
  <c r="K53" s="1"/>
  <c r="H53"/>
  <c r="G53" s="1"/>
  <c r="E53"/>
  <c r="F52"/>
  <c r="C52"/>
  <c r="J51"/>
  <c r="K51" s="1"/>
  <c r="H51"/>
  <c r="G51" s="1"/>
  <c r="G50" s="1"/>
  <c r="G49" s="1"/>
  <c r="E51"/>
  <c r="F50"/>
  <c r="E50"/>
  <c r="C50"/>
  <c r="J50" s="1"/>
  <c r="K50" s="1"/>
  <c r="E49"/>
  <c r="C49"/>
  <c r="J48"/>
  <c r="K48" s="1"/>
  <c r="H48"/>
  <c r="G48" s="1"/>
  <c r="E48"/>
  <c r="J47"/>
  <c r="K47" s="1"/>
  <c r="H47"/>
  <c r="G47" s="1"/>
  <c r="E47"/>
  <c r="I47" s="1"/>
  <c r="J46"/>
  <c r="K46" s="1"/>
  <c r="H46"/>
  <c r="G46" s="1"/>
  <c r="E46"/>
  <c r="J45"/>
  <c r="K45" s="1"/>
  <c r="H45"/>
  <c r="G45" s="1"/>
  <c r="E45"/>
  <c r="I45" s="1"/>
  <c r="J44"/>
  <c r="K44" s="1"/>
  <c r="H44"/>
  <c r="G44" s="1"/>
  <c r="E44"/>
  <c r="F43"/>
  <c r="C43"/>
  <c r="E42"/>
  <c r="J41"/>
  <c r="K41" s="1"/>
  <c r="H41"/>
  <c r="G41" s="1"/>
  <c r="E41"/>
  <c r="I41" s="1"/>
  <c r="J40"/>
  <c r="K40" s="1"/>
  <c r="H40"/>
  <c r="G40" s="1"/>
  <c r="E40"/>
  <c r="F39"/>
  <c r="C39"/>
  <c r="J38"/>
  <c r="K38" s="1"/>
  <c r="H38"/>
  <c r="G38" s="1"/>
  <c r="G36" s="1"/>
  <c r="E38"/>
  <c r="E36" s="1"/>
  <c r="J37"/>
  <c r="K37" s="1"/>
  <c r="H37"/>
  <c r="G37" s="1"/>
  <c r="E37"/>
  <c r="F36"/>
  <c r="C36"/>
  <c r="J36" s="1"/>
  <c r="K36" s="1"/>
  <c r="J35"/>
  <c r="K35" s="1"/>
  <c r="H35"/>
  <c r="G35" s="1"/>
  <c r="E35"/>
  <c r="D35" s="1"/>
  <c r="J34"/>
  <c r="K34" s="1"/>
  <c r="H34"/>
  <c r="G34" s="1"/>
  <c r="E34"/>
  <c r="I34" s="1"/>
  <c r="J33"/>
  <c r="K33" s="1"/>
  <c r="H33"/>
  <c r="G33" s="1"/>
  <c r="E33"/>
  <c r="J32"/>
  <c r="K32" s="1"/>
  <c r="H32"/>
  <c r="G32" s="1"/>
  <c r="E32"/>
  <c r="I32" s="1"/>
  <c r="J31"/>
  <c r="K31" s="1"/>
  <c r="H31"/>
  <c r="G31" s="1"/>
  <c r="E31"/>
  <c r="E30"/>
  <c r="D30" s="1"/>
  <c r="J29"/>
  <c r="K29" s="1"/>
  <c r="H29"/>
  <c r="G29" s="1"/>
  <c r="E29"/>
  <c r="J28"/>
  <c r="K28" s="1"/>
  <c r="H28"/>
  <c r="G28" s="1"/>
  <c r="E28"/>
  <c r="I28" s="1"/>
  <c r="F27"/>
  <c r="C27"/>
  <c r="D26"/>
  <c r="D25" s="1"/>
  <c r="E25"/>
  <c r="C25"/>
  <c r="J24"/>
  <c r="K24" s="1"/>
  <c r="E24"/>
  <c r="J23"/>
  <c r="K23" s="1"/>
  <c r="H23"/>
  <c r="G23" s="1"/>
  <c r="E23"/>
  <c r="J22"/>
  <c r="K22" s="1"/>
  <c r="F21"/>
  <c r="C21"/>
  <c r="J20"/>
  <c r="K20" s="1"/>
  <c r="H20"/>
  <c r="E20"/>
  <c r="D20" s="1"/>
  <c r="J19"/>
  <c r="K19" s="1"/>
  <c r="H19"/>
  <c r="E19"/>
  <c r="D19" s="1"/>
  <c r="J18"/>
  <c r="K18" s="1"/>
  <c r="H18"/>
  <c r="E18"/>
  <c r="D18" s="1"/>
  <c r="J17"/>
  <c r="K17" s="1"/>
  <c r="H17"/>
  <c r="E17"/>
  <c r="D17" s="1"/>
  <c r="J16"/>
  <c r="K16" s="1"/>
  <c r="H16"/>
  <c r="E16"/>
  <c r="D16" s="1"/>
  <c r="F14"/>
  <c r="C14"/>
  <c r="L13"/>
  <c r="F54" i="17"/>
  <c r="E54" s="1"/>
  <c r="D54" s="1"/>
  <c r="F42"/>
  <c r="F26"/>
  <c r="J26" s="1"/>
  <c r="K26" s="1"/>
  <c r="F24"/>
  <c r="F22"/>
  <c r="E22" s="1"/>
  <c r="F15"/>
  <c r="J68"/>
  <c r="K68" s="1"/>
  <c r="H68"/>
  <c r="G68" s="1"/>
  <c r="E68"/>
  <c r="J67"/>
  <c r="K67" s="1"/>
  <c r="H67"/>
  <c r="G67" s="1"/>
  <c r="E67"/>
  <c r="J66"/>
  <c r="K66" s="1"/>
  <c r="H66"/>
  <c r="G66" s="1"/>
  <c r="E66"/>
  <c r="E65" s="1"/>
  <c r="F65"/>
  <c r="F64" s="1"/>
  <c r="C65"/>
  <c r="J63"/>
  <c r="K63" s="1"/>
  <c r="H63"/>
  <c r="G63" s="1"/>
  <c r="E63"/>
  <c r="J62"/>
  <c r="K62" s="1"/>
  <c r="H62"/>
  <c r="G62" s="1"/>
  <c r="E62"/>
  <c r="J61"/>
  <c r="K61" s="1"/>
  <c r="H61"/>
  <c r="G61" s="1"/>
  <c r="E61"/>
  <c r="C60"/>
  <c r="J59"/>
  <c r="K59" s="1"/>
  <c r="H59"/>
  <c r="G59" s="1"/>
  <c r="E59"/>
  <c r="J58"/>
  <c r="K58" s="1"/>
  <c r="H58"/>
  <c r="G58" s="1"/>
  <c r="E58"/>
  <c r="E56" s="1"/>
  <c r="E55" s="1"/>
  <c r="J57"/>
  <c r="K57" s="1"/>
  <c r="H57"/>
  <c r="G57" s="1"/>
  <c r="E57"/>
  <c r="F56"/>
  <c r="C56"/>
  <c r="J56" s="1"/>
  <c r="K56" s="1"/>
  <c r="J54"/>
  <c r="K54" s="1"/>
  <c r="J53"/>
  <c r="K53" s="1"/>
  <c r="H53"/>
  <c r="G53" s="1"/>
  <c r="E53"/>
  <c r="I53" s="1"/>
  <c r="C52"/>
  <c r="J51"/>
  <c r="K51" s="1"/>
  <c r="H51"/>
  <c r="G51" s="1"/>
  <c r="G50" s="1"/>
  <c r="G49" s="1"/>
  <c r="E51"/>
  <c r="E50" s="1"/>
  <c r="E49" s="1"/>
  <c r="H50"/>
  <c r="H49" s="1"/>
  <c r="F50"/>
  <c r="C50"/>
  <c r="J48"/>
  <c r="K48" s="1"/>
  <c r="H48"/>
  <c r="G48" s="1"/>
  <c r="E48"/>
  <c r="J47"/>
  <c r="K47" s="1"/>
  <c r="H47"/>
  <c r="G47" s="1"/>
  <c r="E47"/>
  <c r="J46"/>
  <c r="K46" s="1"/>
  <c r="H46"/>
  <c r="G46" s="1"/>
  <c r="E46"/>
  <c r="J45"/>
  <c r="K45" s="1"/>
  <c r="H45"/>
  <c r="G45" s="1"/>
  <c r="E45"/>
  <c r="J44"/>
  <c r="K44" s="1"/>
  <c r="H44"/>
  <c r="G44" s="1"/>
  <c r="E44"/>
  <c r="F43"/>
  <c r="C43"/>
  <c r="J43" s="1"/>
  <c r="K43" s="1"/>
  <c r="E42"/>
  <c r="J41"/>
  <c r="K41" s="1"/>
  <c r="H41"/>
  <c r="G41" s="1"/>
  <c r="E41"/>
  <c r="I41" s="1"/>
  <c r="J40"/>
  <c r="K40" s="1"/>
  <c r="H40"/>
  <c r="G40" s="1"/>
  <c r="E40"/>
  <c r="F39"/>
  <c r="C39"/>
  <c r="J38"/>
  <c r="K38" s="1"/>
  <c r="H38"/>
  <c r="G38" s="1"/>
  <c r="G36" s="1"/>
  <c r="E38"/>
  <c r="J37"/>
  <c r="K37" s="1"/>
  <c r="H37"/>
  <c r="G37" s="1"/>
  <c r="E37"/>
  <c r="H36"/>
  <c r="F36"/>
  <c r="C36"/>
  <c r="J35"/>
  <c r="K35" s="1"/>
  <c r="H35"/>
  <c r="G35" s="1"/>
  <c r="E35"/>
  <c r="J34"/>
  <c r="K34" s="1"/>
  <c r="H34"/>
  <c r="G34" s="1"/>
  <c r="E34"/>
  <c r="J33"/>
  <c r="K33" s="1"/>
  <c r="H33"/>
  <c r="G33" s="1"/>
  <c r="E33"/>
  <c r="J32"/>
  <c r="K32" s="1"/>
  <c r="H32"/>
  <c r="G32" s="1"/>
  <c r="E32"/>
  <c r="J31"/>
  <c r="K31" s="1"/>
  <c r="H31"/>
  <c r="G31" s="1"/>
  <c r="E31"/>
  <c r="E30"/>
  <c r="D30" s="1"/>
  <c r="J29"/>
  <c r="K29" s="1"/>
  <c r="H29"/>
  <c r="G29" s="1"/>
  <c r="E29"/>
  <c r="J28"/>
  <c r="K28" s="1"/>
  <c r="H28"/>
  <c r="G28" s="1"/>
  <c r="E28"/>
  <c r="F27"/>
  <c r="C27"/>
  <c r="D26"/>
  <c r="E25"/>
  <c r="D25"/>
  <c r="C25"/>
  <c r="J24"/>
  <c r="K24" s="1"/>
  <c r="J23"/>
  <c r="K23" s="1"/>
  <c r="H23"/>
  <c r="G23" s="1"/>
  <c r="E23"/>
  <c r="J22"/>
  <c r="K22" s="1"/>
  <c r="F21"/>
  <c r="C21"/>
  <c r="J20"/>
  <c r="K20" s="1"/>
  <c r="H20"/>
  <c r="E20"/>
  <c r="D20" s="1"/>
  <c r="J19"/>
  <c r="K19" s="1"/>
  <c r="H19"/>
  <c r="I19" s="1"/>
  <c r="E19"/>
  <c r="D19" s="1"/>
  <c r="J18"/>
  <c r="K18" s="1"/>
  <c r="H18"/>
  <c r="E18"/>
  <c r="D18" s="1"/>
  <c r="J17"/>
  <c r="K17" s="1"/>
  <c r="H17"/>
  <c r="I17" s="1"/>
  <c r="E17"/>
  <c r="D17" s="1"/>
  <c r="J16"/>
  <c r="K16" s="1"/>
  <c r="H16"/>
  <c r="E16"/>
  <c r="D16" s="1"/>
  <c r="J15"/>
  <c r="K15" s="1"/>
  <c r="E15"/>
  <c r="D15" s="1"/>
  <c r="F14"/>
  <c r="C14"/>
  <c r="J14" s="1"/>
  <c r="K14" s="1"/>
  <c r="L13"/>
  <c r="F22" i="6"/>
  <c r="I45" i="17" l="1"/>
  <c r="I47"/>
  <c r="C49"/>
  <c r="I57"/>
  <c r="I59"/>
  <c r="I61"/>
  <c r="J56" i="18"/>
  <c r="K56" s="1"/>
  <c r="C13"/>
  <c r="E56"/>
  <c r="E55" s="1"/>
  <c r="I29" i="17"/>
  <c r="I31"/>
  <c r="I33"/>
  <c r="I35"/>
  <c r="E43"/>
  <c r="F52"/>
  <c r="F49" s="1"/>
  <c r="J49" s="1"/>
  <c r="K49" s="1"/>
  <c r="I58"/>
  <c r="I62"/>
  <c r="H65"/>
  <c r="H64" s="1"/>
  <c r="I67"/>
  <c r="F25" i="18"/>
  <c r="J43"/>
  <c r="K43" s="1"/>
  <c r="I53"/>
  <c r="I57"/>
  <c r="I59"/>
  <c r="I61"/>
  <c r="I63"/>
  <c r="J65"/>
  <c r="K65" s="1"/>
  <c r="H65"/>
  <c r="H64" s="1"/>
  <c r="I67"/>
  <c r="C12" i="20"/>
  <c r="F12" i="24"/>
  <c r="E64"/>
  <c r="H68"/>
  <c r="D71" i="20"/>
  <c r="I71"/>
  <c r="J27" i="17"/>
  <c r="K27" s="1"/>
  <c r="D47"/>
  <c r="I23" i="18"/>
  <c r="H27"/>
  <c r="G27" s="1"/>
  <c r="I29"/>
  <c r="H36"/>
  <c r="I38"/>
  <c r="I36" s="1"/>
  <c r="E43"/>
  <c r="D47"/>
  <c r="I68"/>
  <c r="J69" i="20"/>
  <c r="K69" s="1"/>
  <c r="J65" i="17"/>
  <c r="K65" s="1"/>
  <c r="D45" i="18"/>
  <c r="I58"/>
  <c r="I62"/>
  <c r="D29" i="17"/>
  <c r="E52"/>
  <c r="D53"/>
  <c r="D52" s="1"/>
  <c r="D49" s="1"/>
  <c r="C64"/>
  <c r="J64" s="1"/>
  <c r="K64" s="1"/>
  <c r="G65"/>
  <c r="G64" s="1"/>
  <c r="D67"/>
  <c r="I16" i="18"/>
  <c r="I18"/>
  <c r="I20"/>
  <c r="I51"/>
  <c r="I50" s="1"/>
  <c r="I49" s="1"/>
  <c r="E52"/>
  <c r="D53"/>
  <c r="D52" s="1"/>
  <c r="D49" s="1"/>
  <c r="I66"/>
  <c r="I32" i="17"/>
  <c r="I34"/>
  <c r="I38"/>
  <c r="I36" s="1"/>
  <c r="D41"/>
  <c r="D39" s="1"/>
  <c r="D45"/>
  <c r="I31" i="18"/>
  <c r="I33"/>
  <c r="D38"/>
  <c r="D36" s="1"/>
  <c r="J39"/>
  <c r="K39" s="1"/>
  <c r="D41"/>
  <c r="D39" s="1"/>
  <c r="I43" i="24"/>
  <c r="G43"/>
  <c r="I56"/>
  <c r="G56"/>
  <c r="G55" s="1"/>
  <c r="J68"/>
  <c r="K68" s="1"/>
  <c r="D14" i="17"/>
  <c r="J39"/>
  <c r="K39" s="1"/>
  <c r="I51"/>
  <c r="I50" s="1"/>
  <c r="I49" s="1"/>
  <c r="D51"/>
  <c r="D50" s="1"/>
  <c r="E14"/>
  <c r="I16"/>
  <c r="G17"/>
  <c r="I18"/>
  <c r="G19"/>
  <c r="I20"/>
  <c r="I23"/>
  <c r="E27"/>
  <c r="I28"/>
  <c r="D32"/>
  <c r="D34"/>
  <c r="J36"/>
  <c r="K36" s="1"/>
  <c r="E36"/>
  <c r="D38"/>
  <c r="D36" s="1"/>
  <c r="I40"/>
  <c r="I44"/>
  <c r="I46"/>
  <c r="I48"/>
  <c r="J52"/>
  <c r="K52" s="1"/>
  <c r="G56"/>
  <c r="D58"/>
  <c r="D62"/>
  <c r="I63"/>
  <c r="I66"/>
  <c r="I65" s="1"/>
  <c r="I64" s="1"/>
  <c r="I68"/>
  <c r="J14" i="18"/>
  <c r="K14" s="1"/>
  <c r="G16"/>
  <c r="I17"/>
  <c r="G18"/>
  <c r="I19"/>
  <c r="G20"/>
  <c r="J21"/>
  <c r="K21" s="1"/>
  <c r="D23"/>
  <c r="J25"/>
  <c r="K25" s="1"/>
  <c r="J27"/>
  <c r="K27" s="1"/>
  <c r="D28"/>
  <c r="D31"/>
  <c r="D33"/>
  <c r="I37"/>
  <c r="I40"/>
  <c r="I44"/>
  <c r="I46"/>
  <c r="I48"/>
  <c r="H50"/>
  <c r="H49" s="1"/>
  <c r="D51"/>
  <c r="D50" s="1"/>
  <c r="F49"/>
  <c r="G56"/>
  <c r="D58"/>
  <c r="D62"/>
  <c r="C64"/>
  <c r="J64" s="1"/>
  <c r="K64" s="1"/>
  <c r="E65"/>
  <c r="G65"/>
  <c r="G64" s="1"/>
  <c r="D67"/>
  <c r="I56" i="17"/>
  <c r="I56" i="18"/>
  <c r="I65"/>
  <c r="I64" s="1"/>
  <c r="I13" i="24"/>
  <c r="G13"/>
  <c r="I21"/>
  <c r="C10"/>
  <c r="I55"/>
  <c r="H12"/>
  <c r="E12"/>
  <c r="F11"/>
  <c r="J11" s="1"/>
  <c r="K11" s="1"/>
  <c r="G25"/>
  <c r="I25"/>
  <c r="I27"/>
  <c r="K13"/>
  <c r="J12"/>
  <c r="K12" s="1"/>
  <c r="D55"/>
  <c r="I65"/>
  <c r="I64" s="1"/>
  <c r="H64"/>
  <c r="I56" i="23"/>
  <c r="I55" s="1"/>
  <c r="I39"/>
  <c r="I27"/>
  <c r="H43"/>
  <c r="I43" s="1"/>
  <c r="I21"/>
  <c r="H13"/>
  <c r="E13"/>
  <c r="D13" s="1"/>
  <c r="F12"/>
  <c r="J13"/>
  <c r="G25"/>
  <c r="I25"/>
  <c r="G43"/>
  <c r="I65" i="20"/>
  <c r="I64" s="1"/>
  <c r="H64"/>
  <c r="D21"/>
  <c r="I27"/>
  <c r="G54"/>
  <c r="G52" s="1"/>
  <c r="I54"/>
  <c r="I52" s="1"/>
  <c r="H52"/>
  <c r="I69"/>
  <c r="I68" s="1"/>
  <c r="J39"/>
  <c r="K39" s="1"/>
  <c r="F13"/>
  <c r="D27"/>
  <c r="I56"/>
  <c r="I24"/>
  <c r="G22"/>
  <c r="H21"/>
  <c r="G21" s="1"/>
  <c r="I15"/>
  <c r="G15"/>
  <c r="G14" s="1"/>
  <c r="H14"/>
  <c r="I22"/>
  <c r="I14"/>
  <c r="D69"/>
  <c r="D68" s="1"/>
  <c r="D43"/>
  <c r="G42"/>
  <c r="H39"/>
  <c r="G39" s="1"/>
  <c r="I26"/>
  <c r="G26"/>
  <c r="H25"/>
  <c r="G60"/>
  <c r="H60" s="1"/>
  <c r="I60" s="1"/>
  <c r="F55"/>
  <c r="D56"/>
  <c r="D55" s="1"/>
  <c r="J55"/>
  <c r="C11"/>
  <c r="I42"/>
  <c r="J49" i="18"/>
  <c r="K49" s="1"/>
  <c r="J52"/>
  <c r="K52" s="1"/>
  <c r="F13"/>
  <c r="J13" s="1"/>
  <c r="K13" s="1"/>
  <c r="E15"/>
  <c r="G17"/>
  <c r="G19"/>
  <c r="E22"/>
  <c r="D24"/>
  <c r="H24"/>
  <c r="G24" s="1"/>
  <c r="H26"/>
  <c r="E27"/>
  <c r="I27" s="1"/>
  <c r="D29"/>
  <c r="D32"/>
  <c r="D34"/>
  <c r="I35"/>
  <c r="H15"/>
  <c r="H22"/>
  <c r="H42"/>
  <c r="J42"/>
  <c r="K42" s="1"/>
  <c r="D37"/>
  <c r="E39"/>
  <c r="D44"/>
  <c r="D46"/>
  <c r="D48"/>
  <c r="H54"/>
  <c r="I54" s="1"/>
  <c r="I52" s="1"/>
  <c r="C55"/>
  <c r="H56"/>
  <c r="D57"/>
  <c r="D59"/>
  <c r="D61"/>
  <c r="D60" s="1"/>
  <c r="E60" s="1"/>
  <c r="F60" s="1"/>
  <c r="D63"/>
  <c r="D66"/>
  <c r="D68"/>
  <c r="J21" i="17"/>
  <c r="K21" s="1"/>
  <c r="H15"/>
  <c r="G16"/>
  <c r="G18"/>
  <c r="G20"/>
  <c r="D22"/>
  <c r="H22"/>
  <c r="I22" s="1"/>
  <c r="D23"/>
  <c r="E24"/>
  <c r="F25"/>
  <c r="F13" s="1"/>
  <c r="H27"/>
  <c r="G27" s="1"/>
  <c r="D28"/>
  <c r="D31"/>
  <c r="D33"/>
  <c r="D35"/>
  <c r="H24"/>
  <c r="G24" s="1"/>
  <c r="H26"/>
  <c r="I37"/>
  <c r="D37"/>
  <c r="H42"/>
  <c r="J42"/>
  <c r="K42" s="1"/>
  <c r="J50"/>
  <c r="K50" s="1"/>
  <c r="E39"/>
  <c r="D44"/>
  <c r="D46"/>
  <c r="D48"/>
  <c r="H54"/>
  <c r="C55"/>
  <c r="H56"/>
  <c r="D57"/>
  <c r="D59"/>
  <c r="D61"/>
  <c r="D60" s="1"/>
  <c r="E60" s="1"/>
  <c r="F60" s="1"/>
  <c r="D63"/>
  <c r="D66"/>
  <c r="D65" s="1"/>
  <c r="D64" s="1"/>
  <c r="D68"/>
  <c r="F54" i="6"/>
  <c r="F42"/>
  <c r="F26"/>
  <c r="F24"/>
  <c r="F15"/>
  <c r="B18" i="11"/>
  <c r="B17"/>
  <c r="C17" s="1"/>
  <c r="N16"/>
  <c r="G13"/>
  <c r="E42" i="9"/>
  <c r="D65" i="18" l="1"/>
  <c r="D64" s="1"/>
  <c r="D56"/>
  <c r="D55" s="1"/>
  <c r="D43"/>
  <c r="D56" i="17"/>
  <c r="D55" s="1"/>
  <c r="D43"/>
  <c r="D12" i="24"/>
  <c r="D11" s="1"/>
  <c r="E11"/>
  <c r="I12"/>
  <c r="I11" s="1"/>
  <c r="G12"/>
  <c r="G11" s="1"/>
  <c r="H11"/>
  <c r="K13" i="23"/>
  <c r="J12"/>
  <c r="K12" s="1"/>
  <c r="E12"/>
  <c r="F11"/>
  <c r="J11" s="1"/>
  <c r="K11" s="1"/>
  <c r="H12"/>
  <c r="I13"/>
  <c r="G13"/>
  <c r="F12" i="20"/>
  <c r="K55"/>
  <c r="E13" i="18"/>
  <c r="D13" s="1"/>
  <c r="I21" i="20"/>
  <c r="G25"/>
  <c r="I25"/>
  <c r="G55"/>
  <c r="G43" s="1"/>
  <c r="I39"/>
  <c r="C10"/>
  <c r="I55"/>
  <c r="E13"/>
  <c r="D13" s="1"/>
  <c r="J13"/>
  <c r="J12" s="1"/>
  <c r="H13"/>
  <c r="H55"/>
  <c r="H43" s="1"/>
  <c r="I43" s="1"/>
  <c r="H13" i="18"/>
  <c r="G13" s="1"/>
  <c r="G60"/>
  <c r="F55"/>
  <c r="F12" s="1"/>
  <c r="C12"/>
  <c r="C11" s="1"/>
  <c r="G42"/>
  <c r="H39"/>
  <c r="G39" s="1"/>
  <c r="H21"/>
  <c r="G21" s="1"/>
  <c r="G22"/>
  <c r="D22"/>
  <c r="D21" s="1"/>
  <c r="I22"/>
  <c r="E21"/>
  <c r="I21" s="1"/>
  <c r="G54"/>
  <c r="G52" s="1"/>
  <c r="H52"/>
  <c r="I42"/>
  <c r="H14"/>
  <c r="I15"/>
  <c r="G15"/>
  <c r="G14" s="1"/>
  <c r="J60"/>
  <c r="K60" s="1"/>
  <c r="D27"/>
  <c r="I26"/>
  <c r="G26"/>
  <c r="H25"/>
  <c r="D15"/>
  <c r="D14" s="1"/>
  <c r="E14"/>
  <c r="I24"/>
  <c r="G60" i="17"/>
  <c r="F55"/>
  <c r="J55" s="1"/>
  <c r="K55" s="1"/>
  <c r="G42"/>
  <c r="H39"/>
  <c r="G39" s="1"/>
  <c r="I26"/>
  <c r="G26"/>
  <c r="H25"/>
  <c r="I42"/>
  <c r="D27"/>
  <c r="E13"/>
  <c r="D13" s="1"/>
  <c r="H13"/>
  <c r="I15"/>
  <c r="G15"/>
  <c r="G14" s="1"/>
  <c r="H14"/>
  <c r="I14" s="1"/>
  <c r="G54"/>
  <c r="G52" s="1"/>
  <c r="H52"/>
  <c r="I54"/>
  <c r="I52" s="1"/>
  <c r="J60"/>
  <c r="K60" s="1"/>
  <c r="D24"/>
  <c r="D21" s="1"/>
  <c r="E21"/>
  <c r="I24"/>
  <c r="G22"/>
  <c r="H21"/>
  <c r="G21" s="1"/>
  <c r="C12"/>
  <c r="C11" s="1"/>
  <c r="I27"/>
  <c r="J25"/>
  <c r="K25" s="1"/>
  <c r="J13"/>
  <c r="D17" i="11"/>
  <c r="C18"/>
  <c r="F12" i="17" l="1"/>
  <c r="I14" i="18"/>
  <c r="I12" i="23"/>
  <c r="I11" s="1"/>
  <c r="G12"/>
  <c r="G11" s="1"/>
  <c r="H11"/>
  <c r="D12"/>
  <c r="D11" s="1"/>
  <c r="E11"/>
  <c r="I13" i="18"/>
  <c r="K13" i="20"/>
  <c r="K12"/>
  <c r="I13"/>
  <c r="G13"/>
  <c r="H12"/>
  <c r="E12"/>
  <c r="F11"/>
  <c r="J11" s="1"/>
  <c r="K11" s="1"/>
  <c r="G25" i="18"/>
  <c r="I25"/>
  <c r="C10"/>
  <c r="E12"/>
  <c r="F11"/>
  <c r="J11" s="1"/>
  <c r="K11" s="1"/>
  <c r="H12"/>
  <c r="I39"/>
  <c r="J55"/>
  <c r="H60"/>
  <c r="G55"/>
  <c r="G43" s="1"/>
  <c r="I13" i="17"/>
  <c r="G13"/>
  <c r="I39"/>
  <c r="K13"/>
  <c r="J12"/>
  <c r="K12" s="1"/>
  <c r="C10"/>
  <c r="I21"/>
  <c r="H12"/>
  <c r="E12"/>
  <c r="F11"/>
  <c r="J11" s="1"/>
  <c r="K11" s="1"/>
  <c r="G25"/>
  <c r="I25"/>
  <c r="H60"/>
  <c r="G55"/>
  <c r="G43" s="1"/>
  <c r="D18" i="11"/>
  <c r="E17"/>
  <c r="D12" i="20" l="1"/>
  <c r="D11" s="1"/>
  <c r="E11"/>
  <c r="H11"/>
  <c r="I12"/>
  <c r="I11" s="1"/>
  <c r="G12"/>
  <c r="G11" s="1"/>
  <c r="I60" i="18"/>
  <c r="I55" s="1"/>
  <c r="H55"/>
  <c r="H43" s="1"/>
  <c r="I43" s="1"/>
  <c r="I12"/>
  <c r="I11" s="1"/>
  <c r="G12"/>
  <c r="G11" s="1"/>
  <c r="H11"/>
  <c r="D12"/>
  <c r="D11" s="1"/>
  <c r="E11"/>
  <c r="K55"/>
  <c r="J12"/>
  <c r="K12" s="1"/>
  <c r="I60" i="17"/>
  <c r="I55" s="1"/>
  <c r="H55"/>
  <c r="H43" s="1"/>
  <c r="I43" s="1"/>
  <c r="D12"/>
  <c r="D11" s="1"/>
  <c r="E11"/>
  <c r="I12"/>
  <c r="I11" s="1"/>
  <c r="G12"/>
  <c r="G11" s="1"/>
  <c r="H11"/>
  <c r="F17" i="11"/>
  <c r="E18"/>
  <c r="F18" l="1"/>
  <c r="G17"/>
  <c r="H17" l="1"/>
  <c r="G18"/>
  <c r="H18" l="1"/>
  <c r="I17"/>
  <c r="J17" l="1"/>
  <c r="I18"/>
  <c r="J18" l="1"/>
  <c r="K17"/>
  <c r="L17" l="1"/>
  <c r="K18"/>
  <c r="L18" l="1"/>
  <c r="M17"/>
  <c r="M18" s="1"/>
  <c r="F43" i="4"/>
  <c r="J54" i="6"/>
  <c r="K54" s="1"/>
  <c r="F43"/>
  <c r="J22"/>
  <c r="K22" s="1"/>
  <c r="J68"/>
  <c r="K68" s="1"/>
  <c r="H68"/>
  <c r="G68" s="1"/>
  <c r="E68"/>
  <c r="J67"/>
  <c r="K67" s="1"/>
  <c r="H67"/>
  <c r="E67"/>
  <c r="J66"/>
  <c r="K66" s="1"/>
  <c r="H66"/>
  <c r="G66" s="1"/>
  <c r="E66"/>
  <c r="F65"/>
  <c r="F64" s="1"/>
  <c r="C65"/>
  <c r="J63"/>
  <c r="K63" s="1"/>
  <c r="H63"/>
  <c r="G63" s="1"/>
  <c r="E63"/>
  <c r="J62"/>
  <c r="K62" s="1"/>
  <c r="H62"/>
  <c r="G62" s="1"/>
  <c r="E62"/>
  <c r="J61"/>
  <c r="K61" s="1"/>
  <c r="H61"/>
  <c r="G61" s="1"/>
  <c r="E61"/>
  <c r="C60"/>
  <c r="J59"/>
  <c r="K59" s="1"/>
  <c r="H59"/>
  <c r="G59" s="1"/>
  <c r="E59"/>
  <c r="J58"/>
  <c r="K58" s="1"/>
  <c r="H58"/>
  <c r="E58"/>
  <c r="J57"/>
  <c r="K57" s="1"/>
  <c r="H57"/>
  <c r="G57" s="1"/>
  <c r="E57"/>
  <c r="F56"/>
  <c r="C56"/>
  <c r="H54"/>
  <c r="G54" s="1"/>
  <c r="E54"/>
  <c r="J53"/>
  <c r="K53" s="1"/>
  <c r="H53"/>
  <c r="G53" s="1"/>
  <c r="E53"/>
  <c r="F52"/>
  <c r="E52"/>
  <c r="C52"/>
  <c r="J52" s="1"/>
  <c r="K52" s="1"/>
  <c r="J51"/>
  <c r="K51" s="1"/>
  <c r="H51"/>
  <c r="G51" s="1"/>
  <c r="G50" s="1"/>
  <c r="G49" s="1"/>
  <c r="E51"/>
  <c r="F50"/>
  <c r="F49" s="1"/>
  <c r="E50"/>
  <c r="C50"/>
  <c r="J50" s="1"/>
  <c r="K50" s="1"/>
  <c r="E49"/>
  <c r="J48"/>
  <c r="K48" s="1"/>
  <c r="H48"/>
  <c r="G48" s="1"/>
  <c r="E48"/>
  <c r="J47"/>
  <c r="K47" s="1"/>
  <c r="H47"/>
  <c r="G47" s="1"/>
  <c r="E47"/>
  <c r="J46"/>
  <c r="K46" s="1"/>
  <c r="H46"/>
  <c r="G46" s="1"/>
  <c r="E46"/>
  <c r="J45"/>
  <c r="K45" s="1"/>
  <c r="H45"/>
  <c r="G45" s="1"/>
  <c r="E45"/>
  <c r="J44"/>
  <c r="K44" s="1"/>
  <c r="H44"/>
  <c r="G44" s="1"/>
  <c r="E44"/>
  <c r="C43"/>
  <c r="J42"/>
  <c r="K42" s="1"/>
  <c r="H42"/>
  <c r="G42" s="1"/>
  <c r="E42"/>
  <c r="J41"/>
  <c r="K41" s="1"/>
  <c r="H41"/>
  <c r="G41" s="1"/>
  <c r="E41"/>
  <c r="J40"/>
  <c r="K40" s="1"/>
  <c r="H40"/>
  <c r="G40" s="1"/>
  <c r="E40"/>
  <c r="F39"/>
  <c r="C39"/>
  <c r="J38"/>
  <c r="K38" s="1"/>
  <c r="H38"/>
  <c r="G38" s="1"/>
  <c r="G36" s="1"/>
  <c r="E38"/>
  <c r="J37"/>
  <c r="K37" s="1"/>
  <c r="H37"/>
  <c r="G37" s="1"/>
  <c r="E37"/>
  <c r="I37" s="1"/>
  <c r="F36"/>
  <c r="C36"/>
  <c r="J35"/>
  <c r="K35" s="1"/>
  <c r="H35"/>
  <c r="G35" s="1"/>
  <c r="E35"/>
  <c r="J34"/>
  <c r="K34" s="1"/>
  <c r="H34"/>
  <c r="G34" s="1"/>
  <c r="E34"/>
  <c r="J33"/>
  <c r="K33" s="1"/>
  <c r="H33"/>
  <c r="G33" s="1"/>
  <c r="E33"/>
  <c r="J32"/>
  <c r="K32" s="1"/>
  <c r="H32"/>
  <c r="G32" s="1"/>
  <c r="E32"/>
  <c r="J31"/>
  <c r="K31" s="1"/>
  <c r="H31"/>
  <c r="G31" s="1"/>
  <c r="E31"/>
  <c r="E30"/>
  <c r="D30" s="1"/>
  <c r="J29"/>
  <c r="K29" s="1"/>
  <c r="H29"/>
  <c r="G29" s="1"/>
  <c r="E29"/>
  <c r="J28"/>
  <c r="K28" s="1"/>
  <c r="H28"/>
  <c r="G28" s="1"/>
  <c r="E28"/>
  <c r="F27"/>
  <c r="C27"/>
  <c r="J26"/>
  <c r="K26" s="1"/>
  <c r="H26"/>
  <c r="I26" s="1"/>
  <c r="D26"/>
  <c r="D25" s="1"/>
  <c r="F25"/>
  <c r="E25"/>
  <c r="C25"/>
  <c r="J24"/>
  <c r="K24" s="1"/>
  <c r="H24"/>
  <c r="G24" s="1"/>
  <c r="E24"/>
  <c r="J23"/>
  <c r="K23" s="1"/>
  <c r="H23"/>
  <c r="G23" s="1"/>
  <c r="E23"/>
  <c r="H22"/>
  <c r="G22" s="1"/>
  <c r="F21"/>
  <c r="C21"/>
  <c r="J20"/>
  <c r="K20" s="1"/>
  <c r="H20"/>
  <c r="E20"/>
  <c r="D20" s="1"/>
  <c r="J19"/>
  <c r="K19" s="1"/>
  <c r="H19"/>
  <c r="E19"/>
  <c r="D19" s="1"/>
  <c r="J18"/>
  <c r="K18" s="1"/>
  <c r="H18"/>
  <c r="E18"/>
  <c r="D18" s="1"/>
  <c r="J17"/>
  <c r="K17" s="1"/>
  <c r="H17"/>
  <c r="E17"/>
  <c r="D17" s="1"/>
  <c r="J16"/>
  <c r="K16" s="1"/>
  <c r="H16"/>
  <c r="E16"/>
  <c r="D16" s="1"/>
  <c r="J15"/>
  <c r="K15" s="1"/>
  <c r="H15"/>
  <c r="E15"/>
  <c r="D15" s="1"/>
  <c r="F14"/>
  <c r="C14"/>
  <c r="L13"/>
  <c r="H67" i="4"/>
  <c r="G67" s="1"/>
  <c r="H68"/>
  <c r="G68" s="1"/>
  <c r="H66"/>
  <c r="F65"/>
  <c r="E67"/>
  <c r="I67" s="1"/>
  <c r="E68"/>
  <c r="I68" s="1"/>
  <c r="E66"/>
  <c r="H62"/>
  <c r="G62" s="1"/>
  <c r="H63"/>
  <c r="G63" s="1"/>
  <c r="H61"/>
  <c r="G61" s="1"/>
  <c r="E62"/>
  <c r="D62" s="1"/>
  <c r="E63"/>
  <c r="D63" s="1"/>
  <c r="E61"/>
  <c r="H58"/>
  <c r="G58" s="1"/>
  <c r="H59"/>
  <c r="G59" s="1"/>
  <c r="H57"/>
  <c r="E58"/>
  <c r="E59"/>
  <c r="E57"/>
  <c r="D57" s="1"/>
  <c r="F56"/>
  <c r="E54"/>
  <c r="D54" s="1"/>
  <c r="E53"/>
  <c r="E51"/>
  <c r="H45"/>
  <c r="G45" s="1"/>
  <c r="J45"/>
  <c r="K45" s="1"/>
  <c r="E45"/>
  <c r="D45" s="1"/>
  <c r="E46"/>
  <c r="D46" s="1"/>
  <c r="E47"/>
  <c r="D47" s="1"/>
  <c r="E48"/>
  <c r="D48" s="1"/>
  <c r="E44"/>
  <c r="D44" s="1"/>
  <c r="E41"/>
  <c r="E42"/>
  <c r="E40"/>
  <c r="J37"/>
  <c r="K37" s="1"/>
  <c r="H38"/>
  <c r="G38" s="1"/>
  <c r="H37"/>
  <c r="G37" s="1"/>
  <c r="E38"/>
  <c r="D38" s="1"/>
  <c r="E37"/>
  <c r="D37" s="1"/>
  <c r="E29"/>
  <c r="D29" s="1"/>
  <c r="E30"/>
  <c r="D30" s="1"/>
  <c r="E31"/>
  <c r="D31" s="1"/>
  <c r="E32"/>
  <c r="D32" s="1"/>
  <c r="E33"/>
  <c r="D33" s="1"/>
  <c r="E34"/>
  <c r="D34" s="1"/>
  <c r="E35"/>
  <c r="D35" s="1"/>
  <c r="E28"/>
  <c r="E23"/>
  <c r="E24"/>
  <c r="D24" s="1"/>
  <c r="E22"/>
  <c r="D22" s="1"/>
  <c r="E15"/>
  <c r="D23"/>
  <c r="E16"/>
  <c r="E17"/>
  <c r="E18"/>
  <c r="E19"/>
  <c r="E20"/>
  <c r="I45"/>
  <c r="H54"/>
  <c r="G54" s="1"/>
  <c r="H53"/>
  <c r="G53" s="1"/>
  <c r="H51"/>
  <c r="H50" s="1"/>
  <c r="H49" s="1"/>
  <c r="H48"/>
  <c r="G48" s="1"/>
  <c r="F52"/>
  <c r="F50"/>
  <c r="I66" l="1"/>
  <c r="I59"/>
  <c r="D37" i="6"/>
  <c r="I40"/>
  <c r="E43"/>
  <c r="I48"/>
  <c r="J56"/>
  <c r="K56" s="1"/>
  <c r="E56"/>
  <c r="E55" s="1"/>
  <c r="I57" i="4"/>
  <c r="I61"/>
  <c r="H65"/>
  <c r="H14" i="6"/>
  <c r="E22"/>
  <c r="E21" s="1"/>
  <c r="J27"/>
  <c r="K27" s="1"/>
  <c r="I23"/>
  <c r="I28"/>
  <c r="D28"/>
  <c r="G58"/>
  <c r="H56"/>
  <c r="I67"/>
  <c r="D67"/>
  <c r="J21"/>
  <c r="K21" s="1"/>
  <c r="I33"/>
  <c r="D33"/>
  <c r="I35"/>
  <c r="D35"/>
  <c r="I45"/>
  <c r="D45"/>
  <c r="I47"/>
  <c r="D47"/>
  <c r="I58"/>
  <c r="D58"/>
  <c r="I62"/>
  <c r="D62"/>
  <c r="J65"/>
  <c r="K65" s="1"/>
  <c r="C64"/>
  <c r="J64" s="1"/>
  <c r="K64" s="1"/>
  <c r="E65"/>
  <c r="G67"/>
  <c r="H65"/>
  <c r="H64" s="1"/>
  <c r="I58" i="4"/>
  <c r="I56" s="1"/>
  <c r="D58"/>
  <c r="I63"/>
  <c r="I17" i="6"/>
  <c r="I19"/>
  <c r="I22"/>
  <c r="I24"/>
  <c r="J36"/>
  <c r="K36" s="1"/>
  <c r="I42"/>
  <c r="I54"/>
  <c r="G56"/>
  <c r="G65"/>
  <c r="G64" s="1"/>
  <c r="I31"/>
  <c r="J39"/>
  <c r="K39" s="1"/>
  <c r="I65" i="4"/>
  <c r="F49"/>
  <c r="I37"/>
  <c r="D59"/>
  <c r="G57"/>
  <c r="G56" s="1"/>
  <c r="H56"/>
  <c r="I62"/>
  <c r="G66"/>
  <c r="G65" s="1"/>
  <c r="J14" i="6"/>
  <c r="K14" s="1"/>
  <c r="I16"/>
  <c r="G17"/>
  <c r="I18"/>
  <c r="G19"/>
  <c r="I20"/>
  <c r="D23"/>
  <c r="H25"/>
  <c r="G25" s="1"/>
  <c r="G26"/>
  <c r="H27"/>
  <c r="G27" s="1"/>
  <c r="I29"/>
  <c r="I32"/>
  <c r="I34"/>
  <c r="H36"/>
  <c r="I38"/>
  <c r="I36" s="1"/>
  <c r="E39"/>
  <c r="I41"/>
  <c r="I44"/>
  <c r="I46"/>
  <c r="D48"/>
  <c r="C49"/>
  <c r="J49" s="1"/>
  <c r="K49" s="1"/>
  <c r="I51"/>
  <c r="I50" s="1"/>
  <c r="I49" s="1"/>
  <c r="I53"/>
  <c r="I52" s="1"/>
  <c r="I38" i="4"/>
  <c r="E56"/>
  <c r="E55" s="1"/>
  <c r="I57" i="6"/>
  <c r="I59"/>
  <c r="I61"/>
  <c r="I63"/>
  <c r="I66"/>
  <c r="I68"/>
  <c r="I15"/>
  <c r="G52"/>
  <c r="D54"/>
  <c r="D31"/>
  <c r="J25"/>
  <c r="K25" s="1"/>
  <c r="I25"/>
  <c r="D14"/>
  <c r="G15"/>
  <c r="H50"/>
  <c r="H49" s="1"/>
  <c r="D51"/>
  <c r="D50" s="1"/>
  <c r="H52"/>
  <c r="D53"/>
  <c r="D52" s="1"/>
  <c r="D49" s="1"/>
  <c r="C55"/>
  <c r="D57"/>
  <c r="D59"/>
  <c r="D61"/>
  <c r="D60" s="1"/>
  <c r="E60" s="1"/>
  <c r="F60" s="1"/>
  <c r="D63"/>
  <c r="D66"/>
  <c r="D68"/>
  <c r="C13"/>
  <c r="E14"/>
  <c r="G16"/>
  <c r="G18"/>
  <c r="G20"/>
  <c r="H21"/>
  <c r="D22"/>
  <c r="D24"/>
  <c r="E27"/>
  <c r="D29"/>
  <c r="D32"/>
  <c r="D34"/>
  <c r="E36"/>
  <c r="D38"/>
  <c r="D36" s="1"/>
  <c r="H39"/>
  <c r="G39" s="1"/>
  <c r="D41"/>
  <c r="D39" s="1"/>
  <c r="D44"/>
  <c r="D46"/>
  <c r="I48" i="4"/>
  <c r="I53"/>
  <c r="G51"/>
  <c r="G50" s="1"/>
  <c r="G49" s="1"/>
  <c r="I51"/>
  <c r="I50" s="1"/>
  <c r="I49" s="1"/>
  <c r="I54"/>
  <c r="H52"/>
  <c r="G52"/>
  <c r="J58"/>
  <c r="K58" s="1"/>
  <c r="J59"/>
  <c r="K59" s="1"/>
  <c r="J57"/>
  <c r="K57" s="1"/>
  <c r="C56"/>
  <c r="J56" s="1"/>
  <c r="K56" s="1"/>
  <c r="C43"/>
  <c r="J48"/>
  <c r="K48" s="1"/>
  <c r="C36"/>
  <c r="I27" i="6" l="1"/>
  <c r="D56" i="4"/>
  <c r="D55" s="1"/>
  <c r="I52"/>
  <c r="D21" i="6"/>
  <c r="D65"/>
  <c r="D64" s="1"/>
  <c r="D56"/>
  <c r="D55" s="1"/>
  <c r="I65"/>
  <c r="I64" s="1"/>
  <c r="I56"/>
  <c r="G14"/>
  <c r="G21"/>
  <c r="I14"/>
  <c r="D43"/>
  <c r="D27"/>
  <c r="I39"/>
  <c r="C12"/>
  <c r="C11" s="1"/>
  <c r="G60"/>
  <c r="F55"/>
  <c r="J60"/>
  <c r="K60" s="1"/>
  <c r="I21"/>
  <c r="H60" l="1"/>
  <c r="G55"/>
  <c r="G43" s="1"/>
  <c r="J55"/>
  <c r="K55" s="1"/>
  <c r="F13"/>
  <c r="F12" s="1"/>
  <c r="J43"/>
  <c r="K43" s="1"/>
  <c r="C10"/>
  <c r="H13" l="1"/>
  <c r="E13"/>
  <c r="D13" s="1"/>
  <c r="J13"/>
  <c r="I60"/>
  <c r="I55" s="1"/>
  <c r="H55"/>
  <c r="H43" s="1"/>
  <c r="I13" l="1"/>
  <c r="G13"/>
  <c r="F11"/>
  <c r="J11" s="1"/>
  <c r="K11" s="1"/>
  <c r="E12"/>
  <c r="H12"/>
  <c r="K13"/>
  <c r="J12"/>
  <c r="K12" s="1"/>
  <c r="I43"/>
  <c r="H11"/>
  <c r="J68" i="4"/>
  <c r="K68" s="1"/>
  <c r="D68"/>
  <c r="J67"/>
  <c r="K67" s="1"/>
  <c r="D67"/>
  <c r="J66"/>
  <c r="K66" s="1"/>
  <c r="D66"/>
  <c r="E65"/>
  <c r="D65"/>
  <c r="D64" s="1"/>
  <c r="C65"/>
  <c r="J65" s="1"/>
  <c r="K65" s="1"/>
  <c r="J63"/>
  <c r="K63" s="1"/>
  <c r="J62"/>
  <c r="K62" s="1"/>
  <c r="J61"/>
  <c r="K61" s="1"/>
  <c r="D61"/>
  <c r="D60" s="1"/>
  <c r="C60"/>
  <c r="C55" s="1"/>
  <c r="J54"/>
  <c r="K54" s="1"/>
  <c r="J53"/>
  <c r="K53" s="1"/>
  <c r="D53"/>
  <c r="E52"/>
  <c r="D52"/>
  <c r="D49" s="1"/>
  <c r="C52"/>
  <c r="J52" s="1"/>
  <c r="K52" s="1"/>
  <c r="J51"/>
  <c r="K51" s="1"/>
  <c r="D51"/>
  <c r="E50"/>
  <c r="E49" s="1"/>
  <c r="D50"/>
  <c r="C50"/>
  <c r="J47"/>
  <c r="K47" s="1"/>
  <c r="H47"/>
  <c r="I47" s="1"/>
  <c r="J46"/>
  <c r="K46" s="1"/>
  <c r="H46"/>
  <c r="I46" s="1"/>
  <c r="J44"/>
  <c r="K44" s="1"/>
  <c r="H44"/>
  <c r="I44" s="1"/>
  <c r="E43"/>
  <c r="J42"/>
  <c r="K42" s="1"/>
  <c r="H42"/>
  <c r="I42" s="1"/>
  <c r="J41"/>
  <c r="K41" s="1"/>
  <c r="H41"/>
  <c r="D41"/>
  <c r="D39" s="1"/>
  <c r="J40"/>
  <c r="K40" s="1"/>
  <c r="H40"/>
  <c r="F39"/>
  <c r="E39"/>
  <c r="C39"/>
  <c r="J39" s="1"/>
  <c r="K39" s="1"/>
  <c r="J38"/>
  <c r="K38" s="1"/>
  <c r="I36"/>
  <c r="H36"/>
  <c r="G36"/>
  <c r="F36"/>
  <c r="E36"/>
  <c r="D36"/>
  <c r="J35"/>
  <c r="K35" s="1"/>
  <c r="H35"/>
  <c r="J34"/>
  <c r="K34" s="1"/>
  <c r="H34"/>
  <c r="J33"/>
  <c r="K33" s="1"/>
  <c r="H33"/>
  <c r="J32"/>
  <c r="K32" s="1"/>
  <c r="H32"/>
  <c r="I32" s="1"/>
  <c r="J31"/>
  <c r="K31" s="1"/>
  <c r="H31"/>
  <c r="I31" s="1"/>
  <c r="J29"/>
  <c r="K29" s="1"/>
  <c r="H29"/>
  <c r="I29" s="1"/>
  <c r="J28"/>
  <c r="K28" s="1"/>
  <c r="H28"/>
  <c r="I28" s="1"/>
  <c r="D28"/>
  <c r="F27"/>
  <c r="E27"/>
  <c r="C27"/>
  <c r="J26"/>
  <c r="K26" s="1"/>
  <c r="H26"/>
  <c r="D26"/>
  <c r="H25"/>
  <c r="G25" s="1"/>
  <c r="F25"/>
  <c r="E25"/>
  <c r="D25"/>
  <c r="C25"/>
  <c r="J24"/>
  <c r="K24" s="1"/>
  <c r="H24"/>
  <c r="I24" s="1"/>
  <c r="J23"/>
  <c r="K23" s="1"/>
  <c r="H23"/>
  <c r="I23" s="1"/>
  <c r="J22"/>
  <c r="K22" s="1"/>
  <c r="H22"/>
  <c r="I22" s="1"/>
  <c r="F21"/>
  <c r="E21"/>
  <c r="D21"/>
  <c r="C21"/>
  <c r="J20"/>
  <c r="K20" s="1"/>
  <c r="H20"/>
  <c r="I20" s="1"/>
  <c r="D20"/>
  <c r="J19"/>
  <c r="K19" s="1"/>
  <c r="H19"/>
  <c r="I19" s="1"/>
  <c r="D19"/>
  <c r="J18"/>
  <c r="K18" s="1"/>
  <c r="H18"/>
  <c r="I18" s="1"/>
  <c r="D18"/>
  <c r="J17"/>
  <c r="K17" s="1"/>
  <c r="H17"/>
  <c r="I17" s="1"/>
  <c r="D17"/>
  <c r="J16"/>
  <c r="K16" s="1"/>
  <c r="H16"/>
  <c r="I16" s="1"/>
  <c r="D16"/>
  <c r="J15"/>
  <c r="K15" s="1"/>
  <c r="H15"/>
  <c r="I15" s="1"/>
  <c r="D15"/>
  <c r="F14"/>
  <c r="E14"/>
  <c r="C14"/>
  <c r="L13"/>
  <c r="I12" i="6" l="1"/>
  <c r="G12"/>
  <c r="G11" s="1"/>
  <c r="D12"/>
  <c r="D11" s="1"/>
  <c r="E11"/>
  <c r="I11"/>
  <c r="G26" i="4"/>
  <c r="I26"/>
  <c r="J21"/>
  <c r="K21" s="1"/>
  <c r="D27"/>
  <c r="G28"/>
  <c r="D14"/>
  <c r="D43"/>
  <c r="C64"/>
  <c r="J64" s="1"/>
  <c r="K64" s="1"/>
  <c r="J14"/>
  <c r="K14" s="1"/>
  <c r="G42"/>
  <c r="J43"/>
  <c r="K43" s="1"/>
  <c r="G44"/>
  <c r="G46"/>
  <c r="G47"/>
  <c r="G23"/>
  <c r="F13"/>
  <c r="H14"/>
  <c r="I14" s="1"/>
  <c r="J25"/>
  <c r="K25" s="1"/>
  <c r="I25"/>
  <c r="J27"/>
  <c r="K27" s="1"/>
  <c r="G31"/>
  <c r="G32"/>
  <c r="J36"/>
  <c r="K36" s="1"/>
  <c r="I33"/>
  <c r="G33"/>
  <c r="I35"/>
  <c r="G35"/>
  <c r="I40"/>
  <c r="G40"/>
  <c r="H39"/>
  <c r="E60"/>
  <c r="F60" s="1"/>
  <c r="I34"/>
  <c r="G34"/>
  <c r="I41"/>
  <c r="G41"/>
  <c r="J50"/>
  <c r="K50" s="1"/>
  <c r="C49"/>
  <c r="J49" s="1"/>
  <c r="K49" s="1"/>
  <c r="C13"/>
  <c r="G15"/>
  <c r="G16"/>
  <c r="G17"/>
  <c r="G18"/>
  <c r="G19"/>
  <c r="G20"/>
  <c r="H21"/>
  <c r="G22"/>
  <c r="G24"/>
  <c r="H27"/>
  <c r="G27" s="1"/>
  <c r="G29"/>
  <c r="G60" l="1"/>
  <c r="F55"/>
  <c r="J55" s="1"/>
  <c r="K55" s="1"/>
  <c r="J60"/>
  <c r="K60" s="1"/>
  <c r="H13"/>
  <c r="G13" s="1"/>
  <c r="E13"/>
  <c r="C12"/>
  <c r="C11" s="1"/>
  <c r="J13"/>
  <c r="G39"/>
  <c r="I39"/>
  <c r="G21"/>
  <c r="G14"/>
  <c r="I21"/>
  <c r="I27"/>
  <c r="J12" l="1"/>
  <c r="K12" s="1"/>
  <c r="H60"/>
  <c r="G55"/>
  <c r="G43" s="1"/>
  <c r="F12"/>
  <c r="F11" s="1"/>
  <c r="I13"/>
  <c r="D13"/>
  <c r="D12" s="1"/>
  <c r="D11" s="1"/>
  <c r="K13"/>
  <c r="E12" l="1"/>
  <c r="H12"/>
  <c r="H55"/>
  <c r="H43" s="1"/>
  <c r="I43" s="1"/>
  <c r="I60"/>
  <c r="I55" s="1"/>
  <c r="E11"/>
  <c r="J11"/>
  <c r="K11" s="1"/>
  <c r="C10"/>
  <c r="G12" l="1"/>
  <c r="G11" s="1"/>
  <c r="H11"/>
  <c r="I12"/>
  <c r="I11" s="1"/>
</calcChain>
</file>

<file path=xl/sharedStrings.xml><?xml version="1.0" encoding="utf-8"?>
<sst xmlns="http://schemas.openxmlformats.org/spreadsheetml/2006/main" count="1323" uniqueCount="158">
  <si>
    <t>LAPORAN REKAPITULASI KEMAJUAN PELAKSANAAN KEGIATAN SATUAN KERJA PERANGKAT DAERAH</t>
  </si>
  <si>
    <t>SKPD</t>
  </si>
  <si>
    <t xml:space="preserve">Triwulan </t>
  </si>
  <si>
    <t>BULAN</t>
  </si>
  <si>
    <t>No.</t>
  </si>
  <si>
    <t>Uraian</t>
  </si>
  <si>
    <t>(%)</t>
  </si>
  <si>
    <t>Ket</t>
  </si>
  <si>
    <t>BELANJA</t>
  </si>
  <si>
    <t>BELANJA LANGSUNG</t>
  </si>
  <si>
    <t>: I</t>
  </si>
  <si>
    <t>PROGRAM PENUNJANG URUSAN PEMERINTAHAN DAERAH KABUPATEN/KOTA</t>
  </si>
  <si>
    <t>Perencanaan, Penganggaran, dan Evaluasi Kinerja Perangkat Daerah</t>
  </si>
  <si>
    <t>- Penyusunan Dokumen Perencanaan Perangkat Daerah</t>
  </si>
  <si>
    <t>- Koordinasi dan Penyusunan Dokumen RKA-SKPD</t>
  </si>
  <si>
    <t>-Koordinasi dan Penyusunan Dokumen Perubahan RKA-SKPD</t>
  </si>
  <si>
    <t>-Koordinasi dan Penyusunan DPA-SKPD</t>
  </si>
  <si>
    <t>-Koordinasi dan Penyusunan Perubahan DPA-SKPD</t>
  </si>
  <si>
    <t>-Koordinasi dan Penyusunan Laporan Capaian Kinerja dan Ikhtisar Realisasi Kinerja SKPD</t>
  </si>
  <si>
    <t>Administrasi Keuangan Perangkat Daerah</t>
  </si>
  <si>
    <t>-Penyediaan Gaji dan Tunjangan ASN</t>
  </si>
  <si>
    <t>-Koordinasi dan Penyusunan Laporan Keuangan Akhir Tahun SKPD</t>
  </si>
  <si>
    <t>-Koordinasi dan Penyusunan Laporan Keuangan Bulanan/Triwulanan/Semesteran SKPD</t>
  </si>
  <si>
    <t>Administrasi Barang Milik Daerah pada Perangkat Daerah</t>
  </si>
  <si>
    <t>-Penatausahaan Barang Milik Daerah pada SKPD</t>
  </si>
  <si>
    <t>Administrasi Umum Perangkat Daerah</t>
  </si>
  <si>
    <t>-Penyediaan Komponen Instalasi Listrik/Penerangan Bangunan Kantor</t>
  </si>
  <si>
    <t>-Penyediaan Peralatan dan Perlengkapan Kantor</t>
  </si>
  <si>
    <t>-Penyediaan Bahan Logistik Kantor</t>
  </si>
  <si>
    <t>-Penyediaan Barang Cetakan dan Penggandaan</t>
  </si>
  <si>
    <t>-Penyediaan Bahan Bacaan dan Peraturan Perundang-undangan</t>
  </si>
  <si>
    <t>-Fasilitasi Kunjungan Tamu</t>
  </si>
  <si>
    <t>-Penyelenggaraan Rapat Koordinasi dan Konsultasi SKPD</t>
  </si>
  <si>
    <t>Pengadaan Barang Milik Daerah Penunjang Urusan Pemerintah Daerah</t>
  </si>
  <si>
    <t>Penyediaan Jasa Penunjang Urusan Pemerintahan Daerah</t>
  </si>
  <si>
    <t>- Pengadaan Sarana dan Prasarana Gedung Kantor atau Bangunan Lainnya</t>
  </si>
  <si>
    <t>-Penyediaan Jasa Surat Menyurat</t>
  </si>
  <si>
    <t>-Penyediaan Jasa Komunikasi, Sumber Daya Air dan Listrik</t>
  </si>
  <si>
    <t>Penyediaan Jasa Pelayanan Umum Kantor</t>
  </si>
  <si>
    <t>Pemeliharaan Barang Milik Daerah Penunjang Urusan Pemerintahan Daerah</t>
  </si>
  <si>
    <t>- Penyediaan Jasa Pemeliharaan Biaya Pemeliharaan dan Pajak Kendaraan Perorangan Dinas atau Kendaraan Dinas Jabatan</t>
  </si>
  <si>
    <t>-Pemeliharaan Peralatan dan Mesin Lainnya</t>
  </si>
  <si>
    <t>-Pemeliharaan/Rehabilitasi Gedung Kantor dan Bangunan Lainnya</t>
  </si>
  <si>
    <t>PROGRAM PENYELENGGARAAN PEMERINTAHAN DAN PELAYANAN PUBLIK</t>
  </si>
  <si>
    <t>-Koordinasi Penyelenggaraan Kegiatan Pemerintahan di Tingkat Kecamatan</t>
  </si>
  <si>
    <t>-Koordinasi/Sinergi Perencanaan dan Pelaksanaan Kegiatan Pemerintahan dengan Perangkat Daerah dan Instansi Vertikal Terkait</t>
  </si>
  <si>
    <t>Pelaksanaan Urusan Pemerintahan yang Dilimpahkan kepada Camat</t>
  </si>
  <si>
    <t>-Pelaksanaan Urusan Pemerintahan yang terkait dengan Kewenangan Lain yang Dilimpahkan</t>
  </si>
  <si>
    <t>PROGRAM PEMBERDAYAAN MASYARAKAT DESA DAN KELURAHAN</t>
  </si>
  <si>
    <t>Pemberdayaan Lembaga Kemasyarakatan Tingkat Kecamatan</t>
  </si>
  <si>
    <t xml:space="preserve">   - Peningkatan Kapasitas Lembaga Kemasyarakatan</t>
  </si>
  <si>
    <t>PROGRAM PENYELENGGARAAN URUSAN PEMERINTAHAN UMUM</t>
  </si>
  <si>
    <t>-   Pembinaan Wawasan Kebangsaan dan Ketahanan Nasional dalam rangka Memantapkan Pengamalan Pancasila, Pelaksanaan Undang-Undang Dasar Negara Republik Indonesia Tahun 1945, Pelestarian Bhinneka Tunggal Ika serta Pemertahanan dan Pemeliharaan Keutuhan Negara Kesatuan Republik Indonesia</t>
  </si>
  <si>
    <t>- Pembinaan Kerukunan Antarsuku dan Intrasuku, Umat Beragama, Ras, dan Golongan Lainnya Guna Mewujudkan Stabilitas Keamanan Lokal, Regional, dan Nasional</t>
  </si>
  <si>
    <t>- Pelaksanaan Tugas Forum Koordinasi Pimpinan di Kecamatan</t>
  </si>
  <si>
    <t>TARGET</t>
  </si>
  <si>
    <t>Rp</t>
  </si>
  <si>
    <t>FISIK                     ( %)</t>
  </si>
  <si>
    <t>KEUANGAN (%)</t>
  </si>
  <si>
    <t>SELISIH (%)</t>
  </si>
  <si>
    <t>SISA ANGGARAN</t>
  </si>
  <si>
    <t>REALISASI</t>
  </si>
  <si>
    <t>KONDISI S/D BULAN INI (%)</t>
  </si>
  <si>
    <t>PAGU ANGGARAN</t>
  </si>
  <si>
    <t>: KECAMATAN TAKTAKAN</t>
  </si>
  <si>
    <t>APBD KOTA SERANG TAHUN ANGGARAN 2021</t>
  </si>
  <si>
    <t>KECAMATAN TAKTAKAN</t>
  </si>
  <si>
    <t>-Penyediaan Peralatan dan Rumah Tangga</t>
  </si>
  <si>
    <t>-Pelaksanaan Urusan Pemerintahan yang terkait dengan Pelayanan Perizinan Non Usaha</t>
  </si>
  <si>
    <t xml:space="preserve">   - Penyelenggaraan Lembaga Kemasyarakatan</t>
  </si>
  <si>
    <t xml:space="preserve">   - Fasilitasi Pengembangan Usaha Ekonomi Masyarakat</t>
  </si>
  <si>
    <t>Penyelenggaraan Urusan Pemerintahan Umum sesuai Penugasan Kepala Daerah</t>
  </si>
  <si>
    <t>- Pengadaan Peralatan dan Mesin Lainnya</t>
  </si>
  <si>
    <t>- Penyediaan Jasa Pemeliharaan Biaya Pemeliharaan dan Pajak Kendaraan Perorangan Dinas atau Kendaraan Dinas Lapangan</t>
  </si>
  <si>
    <t>-Pemeliharaan/Rehabilitasi Sarana dan Prasarana Gedung Kantor atau Bangunan Lainnya</t>
  </si>
  <si>
    <t>Pemberdayaan Kelurahan</t>
  </si>
  <si>
    <t>- Peningkatan Partisipasi Masyrakat dalam forum Musyawarah Perencanaan Pembangunan di Kelurahan</t>
  </si>
  <si>
    <t>- Pembangunan Sarana dan Prasarana Kelurahan</t>
  </si>
  <si>
    <t>- Pemberdayaan Masyarakat di Kelurahan</t>
  </si>
  <si>
    <t>A</t>
  </si>
  <si>
    <t>B</t>
  </si>
  <si>
    <t>C</t>
  </si>
  <si>
    <t>D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</si>
  <si>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</si>
  <si>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</si>
  <si>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</si>
  <si>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</si>
  <si>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</si>
  <si>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</si>
  <si>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</si>
  <si>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</si>
  <si>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</si>
  <si>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</si>
  <si>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</si>
  <si>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Januari</t>
  </si>
  <si>
    <t>Februari</t>
  </si>
  <si>
    <t>Maret</t>
  </si>
  <si>
    <t>JAN</t>
  </si>
  <si>
    <t>FEB</t>
  </si>
  <si>
    <t>MAR</t>
  </si>
  <si>
    <t>APR</t>
  </si>
  <si>
    <t>MEI</t>
  </si>
  <si>
    <t>JUNI</t>
  </si>
  <si>
    <t>JULI</t>
  </si>
  <si>
    <t>AGS</t>
  </si>
  <si>
    <t>SEP</t>
  </si>
  <si>
    <t>OKT</t>
  </si>
  <si>
    <t>NOV</t>
  </si>
  <si>
    <t>DES</t>
  </si>
  <si>
    <t>RENCANA</t>
  </si>
  <si>
    <t>REALISASI KEUANGAN</t>
  </si>
  <si>
    <t>REALISASI FISIK</t>
  </si>
  <si>
    <t>DEVIASI KEUANGAN</t>
  </si>
  <si>
    <r>
      <rPr>
        <sz val="7.5"/>
        <rFont val="Arial Black"/>
        <family val="2"/>
      </rPr>
      <t>Januari</t>
    </r>
  </si>
  <si>
    <r>
      <rPr>
        <sz val="7.5"/>
        <rFont val="Arial Black"/>
        <family val="2"/>
      </rPr>
      <t>Rp0</t>
    </r>
  </si>
  <si>
    <r>
      <rPr>
        <sz val="7.5"/>
        <rFont val="Arial Black"/>
        <family val="2"/>
      </rPr>
      <t>Februari</t>
    </r>
  </si>
  <si>
    <r>
      <rPr>
        <sz val="7.5"/>
        <rFont val="Arial Black"/>
        <family val="2"/>
      </rPr>
      <t>Maret</t>
    </r>
  </si>
  <si>
    <r>
      <rPr>
        <sz val="7.5"/>
        <rFont val="Arial Black"/>
        <family val="2"/>
      </rPr>
      <t>April</t>
    </r>
  </si>
  <si>
    <r>
      <rPr>
        <sz val="7.5"/>
        <rFont val="Arial Black"/>
        <family val="2"/>
      </rPr>
      <t>Mei</t>
    </r>
  </si>
  <si>
    <r>
      <rPr>
        <sz val="7.5"/>
        <rFont val="Arial Black"/>
        <family val="2"/>
      </rPr>
      <t>Juni</t>
    </r>
  </si>
  <si>
    <r>
      <rPr>
        <sz val="7.5"/>
        <rFont val="Arial Black"/>
        <family val="2"/>
      </rPr>
      <t>Juli</t>
    </r>
  </si>
  <si>
    <r>
      <rPr>
        <sz val="7.5"/>
        <rFont val="Arial Black"/>
        <family val="2"/>
      </rPr>
      <t>Agustus</t>
    </r>
  </si>
  <si>
    <r>
      <rPr>
        <sz val="7.5"/>
        <rFont val="Arial Black"/>
        <family val="2"/>
      </rPr>
      <t>September</t>
    </r>
  </si>
  <si>
    <r>
      <rPr>
        <sz val="7.5"/>
        <rFont val="Arial Black"/>
        <family val="2"/>
      </rPr>
      <t>Oktober</t>
    </r>
  </si>
  <si>
    <r>
      <rPr>
        <sz val="7.5"/>
        <rFont val="Arial Black"/>
        <family val="2"/>
      </rPr>
      <t>November</t>
    </r>
  </si>
  <si>
    <r>
      <rPr>
        <sz val="7.5"/>
        <rFont val="Arial Black"/>
        <family val="2"/>
      </rPr>
      <t>Desember</t>
    </r>
  </si>
  <si>
    <r>
      <rPr>
        <sz val="7.5"/>
        <rFont val="Arial Black"/>
        <family val="2"/>
      </rPr>
      <t>Jumlah</t>
    </r>
  </si>
  <si>
    <t>Jumlah Belanja</t>
  </si>
  <si>
    <t>JANUARI</t>
  </si>
  <si>
    <t>MARET</t>
  </si>
  <si>
    <t>APRIL</t>
  </si>
  <si>
    <t>AGUSTUS</t>
  </si>
  <si>
    <t>SEPT</t>
  </si>
  <si>
    <t>April</t>
  </si>
  <si>
    <t>: II</t>
  </si>
  <si>
    <t>Mei</t>
  </si>
  <si>
    <t>Juni</t>
  </si>
  <si>
    <t>PROGRAM KOORDINASI KETENTRAMAN DAN KETERTIBAN UMUM</t>
  </si>
  <si>
    <t>E</t>
  </si>
  <si>
    <t>XIII</t>
  </si>
  <si>
    <t>Juli</t>
  </si>
  <si>
    <t>: III</t>
  </si>
  <si>
    <t>KoordinAI Upaya Penyelenggaraan Ketentraman dan Ketertiban Umum</t>
  </si>
  <si>
    <t>sinergitas dengan Kepolisian Negara Republik Indonesia, tentara Nasional Indonesia dan Instansi Vertikal di Wilayah Indonesia</t>
  </si>
  <si>
    <t>Harmonisasi Hubungan Dengan tokoh agama dan Tokoh Masyarakat</t>
  </si>
  <si>
    <t>CAMAT TAKTAKAN</t>
  </si>
  <si>
    <t>KOTA SERANG</t>
  </si>
  <si>
    <t>H. AHMAD SAIFULLAH, S.Pd.,M.Si</t>
  </si>
  <si>
    <t>NIP. 19720517 199803 1 008</t>
  </si>
  <si>
    <t>Serang,   Juli 2021</t>
  </si>
  <si>
    <t>Serang,   Agustus 2021</t>
  </si>
  <si>
    <t>Agustus</t>
  </si>
  <si>
    <t>September</t>
  </si>
  <si>
    <t>Oktober</t>
  </si>
  <si>
    <t>: IV</t>
  </si>
  <si>
    <t>November</t>
  </si>
  <si>
    <t>Desember</t>
  </si>
  <si>
    <t>Koordinasi Upaya Penyelenggaraan Ketentraman dan Ketertiban Umum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</si>
</sst>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.00_);_(* \(#,##0.00\);_(* &quot;-&quot;_);_(@_)"/>
    <numFmt numFmtId="166" formatCode="#,##0.00;\(#,##0.00\)"/>
  </numFmts>
  <fonts count="4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Tahoma"/>
      <family val="2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7.5"/>
      <name val="Arial Black"/>
      <family val="2"/>
    </font>
    <font>
      <b/>
      <sz val="7"/>
      <color indexed="8"/>
      <name val="SansSerif"/>
    </font>
    <font>
      <sz val="7"/>
      <color indexed="8"/>
      <name val="SansSerif"/>
    </font>
    <font>
      <b/>
      <u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ashed">
        <color indexed="8"/>
      </bottom>
      <diagonal/>
    </border>
    <border>
      <left style="dotted">
        <color indexed="8"/>
      </left>
      <right/>
      <top/>
      <bottom style="dash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</borders>
  <cellStyleXfs count="73">
    <xf numFmtId="0" fontId="0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0" borderId="0">
      <alignment vertical="top"/>
    </xf>
    <xf numFmtId="0" fontId="35" fillId="0" borderId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23" fillId="7" borderId="0" applyNumberFormat="0" applyBorder="0" applyAlignment="0" applyProtection="0"/>
    <xf numFmtId="0" fontId="27" fillId="10" borderId="12" applyNumberFormat="0" applyAlignment="0" applyProtection="0"/>
    <xf numFmtId="0" fontId="29" fillId="11" borderId="15" applyNumberFormat="0" applyAlignment="0" applyProtection="0"/>
    <xf numFmtId="41" fontId="35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9" borderId="12" applyNumberFormat="0" applyAlignment="0" applyProtection="0"/>
    <xf numFmtId="0" fontId="28" fillId="0" borderId="14" applyNumberFormat="0" applyFill="0" applyAlignment="0" applyProtection="0"/>
    <xf numFmtId="0" fontId="24" fillId="8" borderId="0" applyNumberFormat="0" applyBorder="0" applyAlignment="0" applyProtection="0"/>
    <xf numFmtId="0" fontId="6" fillId="0" borderId="0"/>
    <xf numFmtId="0" fontId="6" fillId="0" borderId="0"/>
    <xf numFmtId="0" fontId="35" fillId="0" borderId="0"/>
    <xf numFmtId="0" fontId="37" fillId="0" borderId="0">
      <alignment vertical="top"/>
    </xf>
    <xf numFmtId="0" fontId="10" fillId="0" borderId="0"/>
    <xf numFmtId="0" fontId="37" fillId="0" borderId="0">
      <alignment vertical="top"/>
    </xf>
    <xf numFmtId="0" fontId="6" fillId="0" borderId="0"/>
    <xf numFmtId="0" fontId="6" fillId="0" borderId="0"/>
    <xf numFmtId="0" fontId="10" fillId="12" borderId="16" applyNumberFormat="0" applyFont="0" applyAlignment="0" applyProtection="0"/>
    <xf numFmtId="0" fontId="26" fillId="10" borderId="13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35" fillId="0" borderId="0"/>
    <xf numFmtId="0" fontId="38" fillId="0" borderId="0"/>
  </cellStyleXfs>
  <cellXfs count="248">
    <xf numFmtId="0" fontId="0" fillId="0" borderId="0" xfId="0"/>
    <xf numFmtId="41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/>
    <xf numFmtId="0" fontId="11" fillId="0" borderId="1" xfId="0" quotePrefix="1" applyFont="1" applyBorder="1" applyAlignment="1">
      <alignment horizontal="center" vertical="center"/>
    </xf>
    <xf numFmtId="43" fontId="9" fillId="0" borderId="1" xfId="1" applyNumberFormat="1" applyFont="1" applyBorder="1" applyAlignment="1">
      <alignment horizontal="right"/>
    </xf>
    <xf numFmtId="43" fontId="9" fillId="0" borderId="1" xfId="0" applyNumberFormat="1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0" fontId="11" fillId="0" borderId="2" xfId="0" quotePrefix="1" applyFont="1" applyBorder="1" applyAlignment="1">
      <alignment horizontal="center" vertical="center"/>
    </xf>
    <xf numFmtId="43" fontId="9" fillId="0" borderId="2" xfId="0" applyNumberFormat="1" applyFont="1" applyBorder="1" applyAlignment="1">
      <alignment horizontal="right" vertical="center"/>
    </xf>
    <xf numFmtId="43" fontId="9" fillId="0" borderId="2" xfId="0" applyNumberFormat="1" applyFont="1" applyBorder="1" applyAlignment="1">
      <alignment horizontal="right"/>
    </xf>
    <xf numFmtId="41" fontId="11" fillId="0" borderId="2" xfId="0" applyNumberFormat="1" applyFont="1" applyBorder="1" applyAlignment="1">
      <alignment horizontal="right"/>
    </xf>
    <xf numFmtId="43" fontId="8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right"/>
    </xf>
    <xf numFmtId="0" fontId="14" fillId="0" borderId="5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7" fillId="2" borderId="1" xfId="0" applyFont="1" applyFill="1" applyBorder="1"/>
    <xf numFmtId="0" fontId="7" fillId="0" borderId="0" xfId="0" applyFont="1"/>
    <xf numFmtId="0" fontId="7" fillId="0" borderId="0" xfId="0" applyFont="1" applyAlignment="1"/>
    <xf numFmtId="41" fontId="7" fillId="0" borderId="2" xfId="0" quotePrefix="1" applyNumberFormat="1" applyFont="1" applyBorder="1" applyAlignment="1">
      <alignment horizontal="right"/>
    </xf>
    <xf numFmtId="41" fontId="7" fillId="2" borderId="1" xfId="0" applyNumberFormat="1" applyFont="1" applyFill="1" applyBorder="1" applyAlignment="1">
      <alignment horizontal="right"/>
    </xf>
    <xf numFmtId="41" fontId="7" fillId="2" borderId="4" xfId="0" applyNumberFormat="1" applyFont="1" applyFill="1" applyBorder="1" applyAlignment="1">
      <alignment horizontal="right"/>
    </xf>
    <xf numFmtId="41" fontId="7" fillId="2" borderId="1" xfId="0" applyNumberFormat="1" applyFont="1" applyFill="1" applyBorder="1"/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1" fillId="3" borderId="2" xfId="0" quotePrefix="1" applyFont="1" applyFill="1" applyBorder="1" applyAlignment="1">
      <alignment horizontal="center" vertical="center"/>
    </xf>
    <xf numFmtId="41" fontId="9" fillId="3" borderId="2" xfId="0" quotePrefix="1" applyNumberFormat="1" applyFont="1" applyFill="1" applyBorder="1" applyAlignment="1">
      <alignment horizontal="right" vertical="center"/>
    </xf>
    <xf numFmtId="41" fontId="9" fillId="3" borderId="2" xfId="0" applyNumberFormat="1" applyFont="1" applyFill="1" applyBorder="1" applyAlignment="1">
      <alignment horizontal="right" vertical="center"/>
    </xf>
    <xf numFmtId="43" fontId="9" fillId="3" borderId="2" xfId="0" applyNumberFormat="1" applyFont="1" applyFill="1" applyBorder="1" applyAlignment="1">
      <alignment horizontal="right" vertical="center"/>
    </xf>
    <xf numFmtId="43" fontId="9" fillId="3" borderId="2" xfId="1" applyNumberFormat="1" applyFont="1" applyFill="1" applyBorder="1" applyAlignment="1">
      <alignment horizontal="right" vertical="center"/>
    </xf>
    <xf numFmtId="41" fontId="9" fillId="3" borderId="1" xfId="0" applyNumberFormat="1" applyFont="1" applyFill="1" applyBorder="1" applyAlignment="1">
      <alignment horizontal="right" vertical="center"/>
    </xf>
    <xf numFmtId="0" fontId="9" fillId="0" borderId="3" xfId="0" quotePrefix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2" applyFont="1"/>
    <xf numFmtId="0" fontId="9" fillId="3" borderId="2" xfId="0" quotePrefix="1" applyFont="1" applyFill="1" applyBorder="1" applyAlignment="1">
      <alignment horizontal="center" vertical="center"/>
    </xf>
    <xf numFmtId="41" fontId="9" fillId="0" borderId="0" xfId="0" applyNumberFormat="1" applyFont="1"/>
    <xf numFmtId="0" fontId="9" fillId="0" borderId="0" xfId="0" applyFont="1"/>
    <xf numFmtId="0" fontId="7" fillId="0" borderId="2" xfId="0" quotePrefix="1" applyFont="1" applyBorder="1" applyAlignment="1">
      <alignment horizontal="left" vertical="center"/>
    </xf>
    <xf numFmtId="0" fontId="7" fillId="0" borderId="2" xfId="0" quotePrefix="1" applyFont="1" applyBorder="1" applyAlignment="1">
      <alignment horizontal="left" vertical="center" wrapText="1"/>
    </xf>
    <xf numFmtId="41" fontId="9" fillId="3" borderId="2" xfId="0" quotePrefix="1" applyNumberFormat="1" applyFont="1" applyFill="1" applyBorder="1" applyAlignment="1">
      <alignment horizontal="right"/>
    </xf>
    <xf numFmtId="43" fontId="9" fillId="3" borderId="2" xfId="0" applyNumberFormat="1" applyFont="1" applyFill="1" applyBorder="1" applyAlignment="1">
      <alignment horizontal="right"/>
    </xf>
    <xf numFmtId="41" fontId="9" fillId="3" borderId="2" xfId="0" applyNumberFormat="1" applyFont="1" applyFill="1" applyBorder="1" applyAlignment="1">
      <alignment horizontal="right"/>
    </xf>
    <xf numFmtId="41" fontId="11" fillId="3" borderId="2" xfId="0" applyNumberFormat="1" applyFont="1" applyFill="1" applyBorder="1" applyAlignment="1">
      <alignment horizontal="right"/>
    </xf>
    <xf numFmtId="0" fontId="11" fillId="4" borderId="2" xfId="0" quotePrefix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41" fontId="9" fillId="4" borderId="2" xfId="0" quotePrefix="1" applyNumberFormat="1" applyFont="1" applyFill="1" applyBorder="1" applyAlignment="1">
      <alignment horizontal="right"/>
    </xf>
    <xf numFmtId="43" fontId="9" fillId="4" borderId="2" xfId="0" applyNumberFormat="1" applyFont="1" applyFill="1" applyBorder="1" applyAlignment="1">
      <alignment horizontal="right" vertical="center"/>
    </xf>
    <xf numFmtId="43" fontId="9" fillId="4" borderId="2" xfId="0" applyNumberFormat="1" applyFont="1" applyFill="1" applyBorder="1" applyAlignment="1">
      <alignment horizontal="right"/>
    </xf>
    <xf numFmtId="41" fontId="9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7" fillId="2" borderId="1" xfId="0" quotePrefix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left" vertical="center" wrapText="1"/>
    </xf>
    <xf numFmtId="0" fontId="9" fillId="4" borderId="2" xfId="0" quotePrefix="1" applyFont="1" applyFill="1" applyBorder="1" applyAlignment="1">
      <alignment horizontal="center" vertical="center"/>
    </xf>
    <xf numFmtId="41" fontId="9" fillId="4" borderId="1" xfId="0" applyNumberFormat="1" applyFont="1" applyFill="1" applyBorder="1" applyAlignment="1">
      <alignment horizontal="right" vertical="center"/>
    </xf>
    <xf numFmtId="43" fontId="9" fillId="4" borderId="2" xfId="1" applyNumberFormat="1" applyFont="1" applyFill="1" applyBorder="1" applyAlignment="1">
      <alignment horizontal="right" vertical="center"/>
    </xf>
    <xf numFmtId="41" fontId="0" fillId="4" borderId="2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quotePrefix="1" applyFont="1" applyFill="1" applyBorder="1" applyAlignment="1">
      <alignment horizontal="left" vertical="center"/>
    </xf>
    <xf numFmtId="164" fontId="9" fillId="3" borderId="0" xfId="2" applyFont="1" applyFill="1"/>
    <xf numFmtId="41" fontId="9" fillId="3" borderId="1" xfId="0" applyNumberFormat="1" applyFont="1" applyFill="1" applyBorder="1" applyAlignment="1">
      <alignment horizontal="right"/>
    </xf>
    <xf numFmtId="0" fontId="0" fillId="0" borderId="0" xfId="0" quotePrefix="1" applyAlignment="1">
      <alignment horizontal="left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right"/>
    </xf>
    <xf numFmtId="41" fontId="9" fillId="4" borderId="1" xfId="0" applyNumberFormat="1" applyFont="1" applyFill="1" applyBorder="1" applyAlignment="1">
      <alignment vertical="center"/>
    </xf>
    <xf numFmtId="43" fontId="9" fillId="4" borderId="1" xfId="0" applyNumberFormat="1" applyFont="1" applyFill="1" applyBorder="1" applyAlignment="1">
      <alignment horizontal="right" vertical="center"/>
    </xf>
    <xf numFmtId="41" fontId="12" fillId="4" borderId="1" xfId="0" applyNumberFormat="1" applyFont="1" applyFill="1" applyBorder="1" applyAlignment="1">
      <alignment vertical="center"/>
    </xf>
    <xf numFmtId="43" fontId="8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41" fontId="9" fillId="3" borderId="1" xfId="0" applyNumberFormat="1" applyFont="1" applyFill="1" applyBorder="1"/>
    <xf numFmtId="43" fontId="7" fillId="0" borderId="2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right"/>
    </xf>
    <xf numFmtId="165" fontId="9" fillId="3" borderId="2" xfId="0" quotePrefix="1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9" fillId="0" borderId="1" xfId="1" applyNumberFormat="1" applyFont="1" applyBorder="1" applyAlignment="1">
      <alignment horizontal="right" vertical="center"/>
    </xf>
    <xf numFmtId="43" fontId="9" fillId="0" borderId="1" xfId="0" applyNumberFormat="1" applyFont="1" applyBorder="1" applyAlignment="1">
      <alignment horizontal="right" vertical="center"/>
    </xf>
    <xf numFmtId="41" fontId="12" fillId="2" borderId="1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43" fontId="12" fillId="3" borderId="2" xfId="0" applyNumberFormat="1" applyFont="1" applyFill="1" applyBorder="1" applyAlignment="1">
      <alignment vertical="center"/>
    </xf>
    <xf numFmtId="41" fontId="9" fillId="2" borderId="2" xfId="0" quotePrefix="1" applyNumberFormat="1" applyFont="1" applyFill="1" applyBorder="1" applyAlignment="1">
      <alignment horizontal="right" vertical="center"/>
    </xf>
    <xf numFmtId="165" fontId="9" fillId="2" borderId="2" xfId="0" quotePrefix="1" applyNumberFormat="1" applyFont="1" applyFill="1" applyBorder="1" applyAlignment="1">
      <alignment horizontal="right" vertical="center"/>
    </xf>
    <xf numFmtId="43" fontId="12" fillId="2" borderId="2" xfId="0" applyNumberFormat="1" applyFont="1" applyFill="1" applyBorder="1" applyAlignment="1">
      <alignment vertical="center"/>
    </xf>
    <xf numFmtId="41" fontId="7" fillId="2" borderId="2" xfId="0" quotePrefix="1" applyNumberFormat="1" applyFont="1" applyFill="1" applyBorder="1" applyAlignment="1">
      <alignment horizontal="right" vertical="center"/>
    </xf>
    <xf numFmtId="165" fontId="7" fillId="2" borderId="2" xfId="0" quotePrefix="1" applyNumberFormat="1" applyFont="1" applyFill="1" applyBorder="1" applyAlignment="1">
      <alignment horizontal="right" vertical="center"/>
    </xf>
    <xf numFmtId="43" fontId="13" fillId="2" borderId="2" xfId="0" applyNumberFormat="1" applyFont="1" applyFill="1" applyBorder="1" applyAlignment="1">
      <alignment vertical="center"/>
    </xf>
    <xf numFmtId="41" fontId="8" fillId="2" borderId="2" xfId="0" quotePrefix="1" applyNumberFormat="1" applyFont="1" applyFill="1" applyBorder="1" applyAlignment="1">
      <alignment horizontal="right" vertical="center"/>
    </xf>
    <xf numFmtId="41" fontId="8" fillId="2" borderId="1" xfId="0" applyNumberFormat="1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right" vertical="center"/>
    </xf>
    <xf numFmtId="43" fontId="9" fillId="3" borderId="1" xfId="0" applyNumberFormat="1" applyFont="1" applyFill="1" applyBorder="1" applyAlignment="1">
      <alignment horizontal="right" vertical="center"/>
    </xf>
    <xf numFmtId="41" fontId="9" fillId="3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8" fillId="2" borderId="2" xfId="0" applyNumberFormat="1" applyFont="1" applyFill="1" applyBorder="1" applyAlignment="1">
      <alignment horizontal="right" vertical="center"/>
    </xf>
    <xf numFmtId="41" fontId="9" fillId="4" borderId="1" xfId="0" applyNumberFormat="1" applyFont="1" applyFill="1" applyBorder="1" applyAlignment="1">
      <alignment horizontal="center" vertical="center"/>
    </xf>
    <xf numFmtId="43" fontId="8" fillId="3" borderId="2" xfId="0" applyNumberFormat="1" applyFont="1" applyFill="1" applyBorder="1" applyAlignment="1">
      <alignment horizontal="right" vertical="center"/>
    </xf>
    <xf numFmtId="41" fontId="8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0" fillId="2" borderId="0" xfId="0" applyNumberFormat="1" applyFill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43" fontId="7" fillId="3" borderId="1" xfId="0" applyNumberFormat="1" applyFont="1" applyFill="1" applyBorder="1" applyAlignment="1">
      <alignment horizontal="left" vertical="center" wrapText="1"/>
    </xf>
    <xf numFmtId="164" fontId="7" fillId="2" borderId="1" xfId="2" applyFont="1" applyFill="1" applyBorder="1"/>
    <xf numFmtId="41" fontId="0" fillId="3" borderId="2" xfId="0" applyNumberFormat="1" applyFill="1" applyBorder="1" applyAlignment="1">
      <alignment horizontal="right" vertical="center"/>
    </xf>
    <xf numFmtId="41" fontId="9" fillId="2" borderId="2" xfId="0" applyNumberFormat="1" applyFont="1" applyFill="1" applyBorder="1" applyAlignment="1">
      <alignment horizontal="right"/>
    </xf>
    <xf numFmtId="43" fontId="9" fillId="2" borderId="2" xfId="0" applyNumberFormat="1" applyFont="1" applyFill="1" applyBorder="1" applyAlignment="1">
      <alignment horizontal="right"/>
    </xf>
    <xf numFmtId="43" fontId="8" fillId="0" borderId="1" xfId="0" applyNumberFormat="1" applyFont="1" applyBorder="1" applyAlignment="1">
      <alignment horizontal="right" vertical="center"/>
    </xf>
    <xf numFmtId="41" fontId="9" fillId="0" borderId="1" xfId="0" applyNumberFormat="1" applyFont="1" applyFill="1" applyBorder="1" applyAlignment="1">
      <alignment horizontal="right"/>
    </xf>
    <xf numFmtId="43" fontId="9" fillId="5" borderId="2" xfId="0" applyNumberFormat="1" applyFont="1" applyFill="1" applyBorder="1" applyAlignment="1">
      <alignment horizontal="right" vertical="center"/>
    </xf>
    <xf numFmtId="41" fontId="9" fillId="5" borderId="1" xfId="0" quotePrefix="1" applyNumberFormat="1" applyFont="1" applyFill="1" applyBorder="1" applyAlignment="1">
      <alignment horizontal="right" vertical="center"/>
    </xf>
    <xf numFmtId="41" fontId="11" fillId="5" borderId="2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/>
    <xf numFmtId="0" fontId="11" fillId="2" borderId="2" xfId="0" quotePrefix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left" vertical="center"/>
    </xf>
    <xf numFmtId="41" fontId="6" fillId="2" borderId="2" xfId="0" quotePrefix="1" applyNumberFormat="1" applyFont="1" applyFill="1" applyBorder="1" applyAlignment="1">
      <alignment horizontal="right"/>
    </xf>
    <xf numFmtId="43" fontId="6" fillId="2" borderId="2" xfId="0" applyNumberFormat="1" applyFont="1" applyFill="1" applyBorder="1" applyAlignment="1">
      <alignment horizontal="right" vertical="center"/>
    </xf>
    <xf numFmtId="41" fontId="6" fillId="2" borderId="2" xfId="0" quotePrefix="1" applyNumberFormat="1" applyFont="1" applyFill="1" applyBorder="1" applyAlignment="1">
      <alignment horizontal="right" vertical="center"/>
    </xf>
    <xf numFmtId="41" fontId="17" fillId="2" borderId="2" xfId="0" applyNumberFormat="1" applyFont="1" applyFill="1" applyBorder="1" applyAlignment="1">
      <alignment horizontal="right"/>
    </xf>
    <xf numFmtId="0" fontId="6" fillId="2" borderId="1" xfId="0" quotePrefix="1" applyFont="1" applyFill="1" applyBorder="1" applyAlignment="1">
      <alignment horizontal="left" vertical="center" wrapText="1"/>
    </xf>
    <xf numFmtId="41" fontId="0" fillId="0" borderId="2" xfId="0" applyNumberFormat="1" applyBorder="1" applyAlignment="1">
      <alignment horizontal="right"/>
    </xf>
    <xf numFmtId="0" fontId="6" fillId="3" borderId="1" xfId="0" quotePrefix="1" applyFont="1" applyFill="1" applyBorder="1" applyAlignment="1">
      <alignment horizontal="left" vertical="center" wrapText="1"/>
    </xf>
    <xf numFmtId="164" fontId="7" fillId="3" borderId="1" xfId="2" applyFont="1" applyFill="1" applyBorder="1"/>
    <xf numFmtId="41" fontId="8" fillId="3" borderId="1" xfId="0" applyNumberFormat="1" applyFon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1" fontId="0" fillId="2" borderId="1" xfId="0" applyNumberFormat="1" applyFill="1" applyBorder="1" applyAlignment="1">
      <alignment horizontal="right"/>
    </xf>
    <xf numFmtId="0" fontId="0" fillId="2" borderId="0" xfId="0" applyFill="1"/>
    <xf numFmtId="0" fontId="9" fillId="0" borderId="1" xfId="0" applyFont="1" applyBorder="1" applyAlignment="1">
      <alignment horizontal="left" vertical="center"/>
    </xf>
    <xf numFmtId="43" fontId="9" fillId="5" borderId="1" xfId="1" applyNumberFormat="1" applyFont="1" applyFill="1" applyBorder="1" applyAlignment="1">
      <alignment horizontal="right"/>
    </xf>
    <xf numFmtId="0" fontId="34" fillId="0" borderId="0" xfId="3">
      <alignment vertical="top"/>
    </xf>
    <xf numFmtId="0" fontId="36" fillId="0" borderId="21" xfId="4" applyFont="1" applyBorder="1" applyAlignment="1">
      <alignment horizontal="center" vertical="center" wrapText="1"/>
    </xf>
    <xf numFmtId="0" fontId="36" fillId="0" borderId="21" xfId="4" applyFont="1" applyBorder="1" applyAlignment="1">
      <alignment horizontal="center" vertical="center"/>
    </xf>
    <xf numFmtId="0" fontId="36" fillId="0" borderId="22" xfId="4" applyFont="1" applyBorder="1" applyAlignment="1">
      <alignment horizontal="center" vertical="center"/>
    </xf>
    <xf numFmtId="0" fontId="36" fillId="0" borderId="23" xfId="4" applyFont="1" applyFill="1" applyBorder="1"/>
    <xf numFmtId="0" fontId="36" fillId="0" borderId="24" xfId="4" applyFont="1" applyBorder="1"/>
    <xf numFmtId="0" fontId="36" fillId="0" borderId="25" xfId="4" applyFont="1" applyBorder="1"/>
    <xf numFmtId="2" fontId="36" fillId="0" borderId="26" xfId="4" applyNumberFormat="1" applyFont="1" applyFill="1" applyBorder="1" applyAlignment="1">
      <alignment horizontal="center"/>
    </xf>
    <xf numFmtId="2" fontId="36" fillId="0" borderId="27" xfId="4" applyNumberFormat="1" applyFont="1" applyFill="1" applyBorder="1" applyAlignment="1">
      <alignment horizontal="center"/>
    </xf>
    <xf numFmtId="2" fontId="36" fillId="0" borderId="0" xfId="4" applyNumberFormat="1" applyFont="1" applyFill="1" applyBorder="1" applyAlignment="1">
      <alignment horizontal="center"/>
    </xf>
    <xf numFmtId="0" fontId="36" fillId="0" borderId="28" xfId="4" applyFont="1" applyFill="1" applyBorder="1"/>
    <xf numFmtId="0" fontId="36" fillId="0" borderId="29" xfId="4" applyFont="1" applyBorder="1"/>
    <xf numFmtId="0" fontId="36" fillId="0" borderId="30" xfId="4" applyFont="1" applyBorder="1"/>
    <xf numFmtId="2" fontId="36" fillId="0" borderId="31" xfId="4" applyNumberFormat="1" applyFont="1" applyFill="1" applyBorder="1" applyAlignment="1">
      <alignment horizontal="center"/>
    </xf>
    <xf numFmtId="2" fontId="36" fillId="0" borderId="32" xfId="4" applyNumberFormat="1" applyFont="1" applyFill="1" applyBorder="1" applyAlignment="1">
      <alignment horizontal="center"/>
    </xf>
    <xf numFmtId="0" fontId="36" fillId="0" borderId="33" xfId="4" applyFont="1" applyFill="1" applyBorder="1"/>
    <xf numFmtId="0" fontId="36" fillId="0" borderId="34" xfId="4" applyFont="1" applyBorder="1"/>
    <xf numFmtId="0" fontId="36" fillId="0" borderId="35" xfId="4" applyFont="1" applyBorder="1"/>
    <xf numFmtId="2" fontId="36" fillId="0" borderId="36" xfId="4" applyNumberFormat="1" applyFont="1" applyFill="1" applyBorder="1" applyAlignment="1">
      <alignment horizontal="center"/>
    </xf>
    <xf numFmtId="0" fontId="39" fillId="0" borderId="40" xfId="70" applyFont="1" applyFill="1" applyBorder="1" applyAlignment="1">
      <alignment horizontal="right" vertical="top" wrapText="1"/>
    </xf>
    <xf numFmtId="0" fontId="39" fillId="0" borderId="40" xfId="70" applyFont="1" applyFill="1" applyBorder="1" applyAlignment="1">
      <alignment horizontal="left" vertical="top" wrapText="1"/>
    </xf>
    <xf numFmtId="41" fontId="39" fillId="0" borderId="40" xfId="35" applyFont="1" applyFill="1" applyBorder="1" applyAlignment="1">
      <alignment horizontal="right" vertical="top" wrapText="1"/>
    </xf>
    <xf numFmtId="0" fontId="38" fillId="0" borderId="41" xfId="70" applyFill="1" applyBorder="1" applyAlignment="1">
      <alignment horizontal="center" vertical="top" wrapText="1"/>
    </xf>
    <xf numFmtId="0" fontId="38" fillId="0" borderId="0" xfId="70" applyFill="1" applyBorder="1" applyAlignment="1">
      <alignment horizontal="center" vertical="top" wrapText="1"/>
    </xf>
    <xf numFmtId="0" fontId="38" fillId="0" borderId="42" xfId="70" applyFill="1" applyBorder="1" applyAlignment="1">
      <alignment horizontal="center" vertical="top" wrapText="1"/>
    </xf>
    <xf numFmtId="0" fontId="6" fillId="0" borderId="0" xfId="56"/>
    <xf numFmtId="0" fontId="39" fillId="0" borderId="40" xfId="70" applyFont="1" applyFill="1" applyBorder="1" applyAlignment="1">
      <alignment horizontal="left" vertical="top" wrapText="1" indent="3"/>
    </xf>
    <xf numFmtId="0" fontId="38" fillId="0" borderId="43" xfId="70" applyFill="1" applyBorder="1" applyAlignment="1">
      <alignment horizontal="center" vertical="top" wrapText="1"/>
    </xf>
    <xf numFmtId="0" fontId="38" fillId="0" borderId="44" xfId="70" applyFill="1" applyBorder="1" applyAlignment="1">
      <alignment horizontal="center" vertical="top" wrapText="1"/>
    </xf>
    <xf numFmtId="0" fontId="38" fillId="0" borderId="45" xfId="70" applyFill="1" applyBorder="1" applyAlignment="1">
      <alignment horizontal="center" vertical="top" wrapText="1"/>
    </xf>
    <xf numFmtId="166" fontId="40" fillId="37" borderId="46" xfId="71" applyNumberFormat="1" applyFont="1" applyFill="1" applyBorder="1" applyAlignment="1">
      <alignment horizontal="right" vertical="top" wrapText="1"/>
    </xf>
    <xf numFmtId="166" fontId="40" fillId="37" borderId="47" xfId="71" applyNumberFormat="1" applyFont="1" applyFill="1" applyBorder="1" applyAlignment="1">
      <alignment horizontal="right" vertical="top" wrapText="1"/>
    </xf>
    <xf numFmtId="166" fontId="40" fillId="37" borderId="1" xfId="71" applyNumberFormat="1" applyFont="1" applyFill="1" applyBorder="1" applyAlignment="1">
      <alignment horizontal="right" vertical="top" wrapText="1"/>
    </xf>
    <xf numFmtId="166" fontId="41" fillId="37" borderId="48" xfId="71" applyNumberFormat="1" applyFont="1" applyFill="1" applyBorder="1" applyAlignment="1">
      <alignment horizontal="right" vertical="top" wrapText="1"/>
    </xf>
    <xf numFmtId="166" fontId="41" fillId="37" borderId="49" xfId="71" applyNumberFormat="1" applyFont="1" applyFill="1" applyBorder="1" applyAlignment="1">
      <alignment horizontal="right" vertical="top" wrapText="1"/>
    </xf>
    <xf numFmtId="166" fontId="41" fillId="37" borderId="2" xfId="71" applyNumberFormat="1" applyFont="1" applyFill="1" applyBorder="1" applyAlignment="1">
      <alignment horizontal="right" vertical="top" wrapText="1"/>
    </xf>
    <xf numFmtId="166" fontId="6" fillId="0" borderId="0" xfId="56" applyNumberFormat="1"/>
    <xf numFmtId="166" fontId="40" fillId="37" borderId="50" xfId="71" applyNumberFormat="1" applyFont="1" applyFill="1" applyBorder="1" applyAlignment="1">
      <alignment horizontal="right" vertical="top" wrapText="1"/>
    </xf>
    <xf numFmtId="166" fontId="41" fillId="37" borderId="1" xfId="71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4" fontId="7" fillId="2" borderId="1" xfId="2" applyFont="1" applyFill="1" applyBorder="1" applyAlignment="1">
      <alignment vertical="center"/>
    </xf>
    <xf numFmtId="0" fontId="0" fillId="0" borderId="2" xfId="0" applyBorder="1"/>
    <xf numFmtId="0" fontId="9" fillId="4" borderId="2" xfId="0" applyFont="1" applyFill="1" applyBorder="1" applyAlignment="1">
      <alignment horizontal="center" vertical="center"/>
    </xf>
    <xf numFmtId="43" fontId="9" fillId="4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164" fontId="9" fillId="3" borderId="1" xfId="2" applyFont="1" applyFill="1" applyBorder="1" applyAlignment="1">
      <alignment horizontal="right" vertical="center"/>
    </xf>
    <xf numFmtId="43" fontId="5" fillId="0" borderId="2" xfId="0" applyNumberFormat="1" applyFont="1" applyBorder="1" applyAlignment="1">
      <alignment horizontal="right" vertical="center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1" fontId="11" fillId="0" borderId="2" xfId="0" applyNumberFormat="1" applyFont="1" applyBorder="1" applyAlignment="1">
      <alignment horizontal="right" wrapText="1"/>
    </xf>
    <xf numFmtId="41" fontId="11" fillId="5" borderId="2" xfId="0" applyNumberFormat="1" applyFont="1" applyFill="1" applyBorder="1" applyAlignment="1">
      <alignment horizontal="right" vertical="center" wrapText="1"/>
    </xf>
    <xf numFmtId="0" fontId="4" fillId="3" borderId="1" xfId="0" quotePrefix="1" applyFont="1" applyFill="1" applyBorder="1" applyAlignment="1">
      <alignment horizontal="left" vertical="center" wrapText="1"/>
    </xf>
    <xf numFmtId="43" fontId="4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3" fontId="4" fillId="0" borderId="2" xfId="0" applyNumberFormat="1" applyFont="1" applyBorder="1" applyAlignment="1">
      <alignment horizontal="right" vertical="center"/>
    </xf>
    <xf numFmtId="41" fontId="4" fillId="2" borderId="2" xfId="0" quotePrefix="1" applyNumberFormat="1" applyFont="1" applyFill="1" applyBorder="1" applyAlignment="1">
      <alignment horizontal="right" vertical="center"/>
    </xf>
    <xf numFmtId="165" fontId="4" fillId="2" borderId="2" xfId="0" quotePrefix="1" applyNumberFormat="1" applyFont="1" applyFill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1" fontId="3" fillId="2" borderId="2" xfId="0" quotePrefix="1" applyNumberFormat="1" applyFont="1" applyFill="1" applyBorder="1" applyAlignment="1">
      <alignment horizontal="right" vertical="center"/>
    </xf>
    <xf numFmtId="165" fontId="3" fillId="2" borderId="2" xfId="0" quotePrefix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165" fontId="2" fillId="2" borderId="2" xfId="0" quotePrefix="1" applyNumberFormat="1" applyFont="1" applyFill="1" applyBorder="1" applyAlignment="1">
      <alignment horizontal="right" vertical="center"/>
    </xf>
    <xf numFmtId="41" fontId="2" fillId="2" borderId="2" xfId="0" quotePrefix="1" applyNumberFormat="1" applyFont="1" applyFill="1" applyBorder="1" applyAlignment="1">
      <alignment horizontal="right" vertical="center"/>
    </xf>
    <xf numFmtId="41" fontId="7" fillId="0" borderId="2" xfId="0" quotePrefix="1" applyNumberFormat="1" applyFont="1" applyBorder="1" applyAlignment="1">
      <alignment horizontal="right" vertical="center"/>
    </xf>
    <xf numFmtId="41" fontId="7" fillId="2" borderId="1" xfId="0" applyNumberFormat="1" applyFont="1" applyFill="1" applyBorder="1" applyAlignment="1">
      <alignment vertical="center"/>
    </xf>
    <xf numFmtId="41" fontId="9" fillId="0" borderId="2" xfId="0" applyNumberFormat="1" applyFont="1" applyFill="1" applyBorder="1" applyAlignment="1">
      <alignment horizontal="right" vertical="center"/>
    </xf>
    <xf numFmtId="0" fontId="1" fillId="2" borderId="1" xfId="0" quotePrefix="1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39" fillId="0" borderId="37" xfId="70" applyFont="1" applyFill="1" applyBorder="1" applyAlignment="1">
      <alignment horizontal="left" vertical="top" wrapText="1"/>
    </xf>
    <xf numFmtId="0" fontId="39" fillId="0" borderId="38" xfId="70" applyFont="1" applyFill="1" applyBorder="1" applyAlignment="1">
      <alignment horizontal="left" vertical="top" wrapText="1"/>
    </xf>
    <xf numFmtId="0" fontId="39" fillId="0" borderId="39" xfId="70" applyFont="1" applyFill="1" applyBorder="1" applyAlignment="1">
      <alignment horizontal="left" vertical="top" wrapText="1"/>
    </xf>
    <xf numFmtId="0" fontId="39" fillId="0" borderId="37" xfId="70" applyFont="1" applyFill="1" applyBorder="1" applyAlignment="1">
      <alignment horizontal="left" vertical="top" wrapText="1" indent="3"/>
    </xf>
    <xf numFmtId="0" fontId="39" fillId="0" borderId="38" xfId="70" applyFont="1" applyFill="1" applyBorder="1" applyAlignment="1">
      <alignment horizontal="left" vertical="top" wrapText="1" indent="3"/>
    </xf>
    <xf numFmtId="0" fontId="39" fillId="0" borderId="39" xfId="70" applyFont="1" applyFill="1" applyBorder="1" applyAlignment="1">
      <alignment horizontal="left" vertical="top" wrapText="1" indent="3"/>
    </xf>
    <xf numFmtId="0" fontId="36" fillId="0" borderId="18" xfId="4" applyFont="1" applyBorder="1" applyAlignment="1">
      <alignment horizontal="center" vertical="center"/>
    </xf>
    <xf numFmtId="0" fontId="36" fillId="0" borderId="19" xfId="4" applyFont="1" applyBorder="1" applyAlignment="1">
      <alignment horizontal="center" vertical="center"/>
    </xf>
    <xf numFmtId="0" fontId="36" fillId="0" borderId="20" xfId="4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7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[0]" xfId="2" builtinId="6"/>
    <cellStyle name="Comma [0] 2" xfId="32"/>
    <cellStyle name="Comma [0] 2 2" xfId="33"/>
    <cellStyle name="Comma [0] 3" xfId="34"/>
    <cellStyle name="Comma [0] 4" xfId="35"/>
    <cellStyle name="Comma [0] 5" xfId="36"/>
    <cellStyle name="Comma 2" xfId="37"/>
    <cellStyle name="Comma 2 2" xfId="38"/>
    <cellStyle name="Comma 2 3" xfId="39"/>
    <cellStyle name="Comma 3" xfId="40"/>
    <cellStyle name="Comma 3 2" xfId="41"/>
    <cellStyle name="Comma 4" xfId="42"/>
    <cellStyle name="Comma 4 2" xfId="43"/>
    <cellStyle name="Comma 5" xfId="44"/>
    <cellStyle name="Comma 6" xfId="45"/>
    <cellStyle name="Comma 7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3"/>
    <cellStyle name="Normal 2 2" xfId="4"/>
    <cellStyle name="Normal 2 2 2" xfId="56"/>
    <cellStyle name="Normal 2 3" xfId="57"/>
    <cellStyle name="Normal 2 4" xfId="70"/>
    <cellStyle name="Normal 2 7" xfId="58"/>
    <cellStyle name="Normal 3" xfId="59"/>
    <cellStyle name="Normal 3 2" xfId="60"/>
    <cellStyle name="Normal 3 3" xfId="71"/>
    <cellStyle name="Normal 4" xfId="61"/>
    <cellStyle name="Normal 4 2" xfId="62"/>
    <cellStyle name="Normal 5" xfId="63"/>
    <cellStyle name="Normal 6" xfId="72"/>
    <cellStyle name="Note 2" xfId="64"/>
    <cellStyle name="Output 2" xfId="65"/>
    <cellStyle name="Percent 2" xfId="66"/>
    <cellStyle name="Title 2" xfId="67"/>
    <cellStyle name="Total 2" xfId="68"/>
    <cellStyle name="Warning Text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42"/>
  <c:chart>
    <c:plotArea>
      <c:layout>
        <c:manualLayout>
          <c:layoutTarget val="inner"/>
          <c:xMode val="edge"/>
          <c:yMode val="edge"/>
          <c:x val="7.2680444160038313E-2"/>
          <c:y val="0.14847702498077833"/>
          <c:w val="0.88298706259577964"/>
          <c:h val="0.71123704006206656"/>
        </c:manualLayout>
      </c:layout>
      <c:lineChart>
        <c:grouping val="standard"/>
        <c:ser>
          <c:idx val="0"/>
          <c:order val="0"/>
          <c:tx>
            <c:strRef>
              <c:f>'Kec.Taktakan-Grfk'!$B$39</c:f>
              <c:strCache>
                <c:ptCount val="1"/>
                <c:pt idx="0">
                  <c:v>RENCANA</c:v>
                </c:pt>
              </c:strCache>
            </c:strRef>
          </c:tx>
          <c:spPr>
            <a:ln w="19050" cap="flat" cmpd="sng" algn="ctr">
              <a:solidFill>
                <a:srgbClr val="0070C0"/>
              </a:solidFill>
              <a:prstDash val="solid"/>
            </a:ln>
            <a:effectLst/>
          </c:spPr>
          <c:marker>
            <c:spPr>
              <a:solidFill>
                <a:schemeClr val="tx1"/>
              </a:solidFill>
              <a:ln w="19050" cap="flat" cmpd="sng" algn="ctr">
                <a:solidFill>
                  <a:srgbClr val="0070C0"/>
                </a:solidFill>
                <a:prstDash val="solid"/>
              </a:ln>
              <a:effectLst/>
            </c:spPr>
          </c:marker>
          <c:dLbls>
            <c:dLbl>
              <c:idx val="9"/>
              <c:layout>
                <c:manualLayout>
                  <c:x val="6.9735006973501087E-3"/>
                  <c:y val="-4.4593088071349114E-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4.1841004184100415E-3"/>
                  <c:y val="0"/>
                </c:manualLayout>
              </c:layout>
              <c:dLblPos val="r"/>
              <c:showVal val="1"/>
            </c:dLbl>
            <c:spPr>
              <a:solidFill>
                <a:srgbClr val="00B0F0"/>
              </a:solidFill>
              <a:ln>
                <a:noFill/>
              </a:ln>
            </c:spPr>
            <c:txPr>
              <a:bodyPr/>
              <a:lstStyle/>
              <a:p>
                <a:pPr>
                  <a:defRPr lang="en-US" sz="900">
                    <a:solidFill>
                      <a:sysClr val="windowText" lastClr="000000"/>
                    </a:solidFill>
                  </a:defRPr>
                </a:pPr>
                <a:endParaRPr lang="id-ID"/>
              </a:p>
            </c:txPr>
            <c:dLblPos val="l"/>
            <c:showVal val="1"/>
          </c:dLbls>
          <c:cat>
            <c:strRef>
              <c:f>'Kec.Taktakan-Grfk'!$E$38:$P$38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'Kec.Taktakan-Grfk'!$E$39:$P$39</c:f>
              <c:numCache>
                <c:formatCode>0.00</c:formatCode>
                <c:ptCount val="12"/>
                <c:pt idx="0">
                  <c:v>41.49</c:v>
                </c:pt>
                <c:pt idx="1">
                  <c:v>44.74</c:v>
                </c:pt>
                <c:pt idx="2">
                  <c:v>47.19</c:v>
                </c:pt>
                <c:pt idx="3">
                  <c:v>52.39</c:v>
                </c:pt>
                <c:pt idx="4">
                  <c:v>54.52</c:v>
                </c:pt>
                <c:pt idx="5">
                  <c:v>58.17</c:v>
                </c:pt>
                <c:pt idx="6">
                  <c:v>88.13</c:v>
                </c:pt>
                <c:pt idx="7">
                  <c:v>90.38</c:v>
                </c:pt>
                <c:pt idx="8">
                  <c:v>92.48</c:v>
                </c:pt>
                <c:pt idx="9">
                  <c:v>95.74</c:v>
                </c:pt>
                <c:pt idx="10">
                  <c:v>97.89</c:v>
                </c:pt>
                <c:pt idx="1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'Kec.Taktakan-Grfk'!$B$40</c:f>
              <c:strCache>
                <c:ptCount val="1"/>
                <c:pt idx="0">
                  <c:v>REALISASI KEUANGAN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pPr>
              <a:solidFill>
                <a:schemeClr val="tx1"/>
              </a:solidFill>
              <a:ln w="28575" cap="flat" cmpd="sng" algn="ctr">
                <a:solidFill>
                  <a:srgbClr val="00B050"/>
                </a:solidFill>
                <a:prstDash val="solid"/>
              </a:ln>
              <a:effectLst/>
            </c:spPr>
          </c:marker>
          <c:dLbls>
            <c:spPr>
              <a:solidFill>
                <a:srgbClr val="92D050"/>
              </a:solidFill>
              <a:ln>
                <a:noFill/>
              </a:ln>
            </c:spPr>
            <c:txPr>
              <a:bodyPr/>
              <a:lstStyle/>
              <a:p>
                <a:pPr>
                  <a:defRPr lang="en-US" sz="900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id-ID"/>
              </a:p>
            </c:txPr>
            <c:dLblPos val="r"/>
            <c:showVal val="1"/>
          </c:dLbls>
          <c:cat>
            <c:strRef>
              <c:f>'Kec.Taktakan-Grfk'!$E$38:$P$38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'Kec.Taktakan-Grfk'!$E$40:$P$40</c:f>
              <c:numCache>
                <c:formatCode>0.00</c:formatCode>
                <c:ptCount val="12"/>
                <c:pt idx="0">
                  <c:v>2.91</c:v>
                </c:pt>
                <c:pt idx="1">
                  <c:v>4.37</c:v>
                </c:pt>
                <c:pt idx="2">
                  <c:v>9.36</c:v>
                </c:pt>
                <c:pt idx="3">
                  <c:v>13.7</c:v>
                </c:pt>
                <c:pt idx="4">
                  <c:v>21.99</c:v>
                </c:pt>
                <c:pt idx="5">
                  <c:v>28.86</c:v>
                </c:pt>
                <c:pt idx="6">
                  <c:v>38.51</c:v>
                </c:pt>
                <c:pt idx="7">
                  <c:v>49.67</c:v>
                </c:pt>
                <c:pt idx="8">
                  <c:v>52.19</c:v>
                </c:pt>
                <c:pt idx="9">
                  <c:v>73.209999999999994</c:v>
                </c:pt>
                <c:pt idx="10">
                  <c:v>83.43</c:v>
                </c:pt>
                <c:pt idx="11">
                  <c:v>94.23</c:v>
                </c:pt>
              </c:numCache>
            </c:numRef>
          </c:val>
        </c:ser>
        <c:ser>
          <c:idx val="2"/>
          <c:order val="2"/>
          <c:tx>
            <c:strRef>
              <c:f>'Kec.Taktakan-Grfk'!$B$41</c:f>
              <c:strCache>
                <c:ptCount val="1"/>
                <c:pt idx="0">
                  <c:v>REALISASI FISIK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pPr>
              <a:solidFill>
                <a:schemeClr val="tx1"/>
              </a:solidFill>
              <a:ln w="25400" cap="flat" cmpd="sng" algn="ctr">
                <a:solidFill>
                  <a:schemeClr val="accent6"/>
                </a:solidFill>
                <a:prstDash val="solid"/>
              </a:ln>
              <a:effectLst/>
            </c:spPr>
          </c:marker>
          <c:dLbls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noFill/>
              </a:ln>
            </c:spPr>
            <c:txPr>
              <a:bodyPr/>
              <a:lstStyle/>
              <a:p>
                <a:pPr>
                  <a:defRPr lang="en-US" sz="900"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id-ID"/>
              </a:p>
            </c:txPr>
            <c:dLblPos val="l"/>
            <c:showVal val="1"/>
          </c:dLbls>
          <c:cat>
            <c:strRef>
              <c:f>'Kec.Taktakan-Grfk'!$E$38:$P$38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'Kec.Taktakan-Grfk'!$E$41:$P$41</c:f>
              <c:numCache>
                <c:formatCode>0.00</c:formatCode>
                <c:ptCount val="12"/>
                <c:pt idx="0">
                  <c:v>2.91</c:v>
                </c:pt>
                <c:pt idx="1">
                  <c:v>4.37</c:v>
                </c:pt>
                <c:pt idx="2">
                  <c:v>9.36</c:v>
                </c:pt>
                <c:pt idx="3">
                  <c:v>13.7</c:v>
                </c:pt>
                <c:pt idx="4">
                  <c:v>21.99</c:v>
                </c:pt>
                <c:pt idx="5">
                  <c:v>28.86</c:v>
                </c:pt>
                <c:pt idx="6">
                  <c:v>38.51</c:v>
                </c:pt>
                <c:pt idx="7">
                  <c:v>49.67</c:v>
                </c:pt>
                <c:pt idx="8">
                  <c:v>52.19</c:v>
                </c:pt>
                <c:pt idx="9">
                  <c:v>73.209999999999994</c:v>
                </c:pt>
                <c:pt idx="10">
                  <c:v>83.43</c:v>
                </c:pt>
                <c:pt idx="11">
                  <c:v>94.23</c:v>
                </c:pt>
              </c:numCache>
            </c:numRef>
          </c:val>
        </c:ser>
        <c:dLbls/>
        <c:marker val="1"/>
        <c:axId val="61482496"/>
        <c:axId val="61484032"/>
      </c:lineChart>
      <c:catAx>
        <c:axId val="61482496"/>
        <c:scaling>
          <c:orientation val="minMax"/>
        </c:scaling>
        <c:axPos val="b"/>
        <c:majorGridlines/>
        <c:numFmt formatCode="General" sourceLinked="1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lang="en-US"/>
            </a:pPr>
            <a:endParaRPr lang="id-ID"/>
          </a:p>
        </c:txPr>
        <c:crossAx val="61484032"/>
        <c:crosses val="autoZero"/>
        <c:auto val="1"/>
        <c:lblAlgn val="ctr"/>
        <c:lblOffset val="100"/>
      </c:catAx>
      <c:valAx>
        <c:axId val="61484032"/>
        <c:scaling>
          <c:orientation val="minMax"/>
          <c:max val="100"/>
          <c:min val="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dk1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lang="en-US"/>
            </a:pPr>
            <a:endParaRPr lang="id-ID"/>
          </a:p>
        </c:txPr>
        <c:crossAx val="61482496"/>
        <c:crosses val="autoZero"/>
        <c:crossBetween val="between"/>
        <c:majorUnit val="10"/>
        <c:minorUnit val="4"/>
      </c:valAx>
      <c:spPr>
        <a:solidFill>
          <a:schemeClr val="bg1">
            <a:lumMod val="7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>
        <c:manualLayout>
          <c:xMode val="edge"/>
          <c:yMode val="edge"/>
          <c:x val="0.20538529964089244"/>
          <c:y val="0.94180760013693932"/>
          <c:w val="0.61548995706080933"/>
          <c:h val="4.3741781441199452E-2"/>
        </c:manualLayout>
      </c:layout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</c:chart>
  <c:spPr>
    <a:solidFill>
      <a:srgbClr val="0066FF"/>
    </a:solidFill>
    <a:ln w="38100" cap="flat" cmpd="sng" algn="ctr">
      <a:solidFill>
        <a:srgbClr val="0005C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000000000000311" l="0.70000000000000062" r="0.70000000000000062" t="0.75000000000000311" header="0.30000000000000032" footer="0.30000000000000032"/>
    <c:pageSetup paperSize="5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0</xdr:row>
      <xdr:rowOff>38100</xdr:rowOff>
    </xdr:from>
    <xdr:to>
      <xdr:col>1</xdr:col>
      <xdr:colOff>745332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3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1</xdr:col>
      <xdr:colOff>733425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1</xdr:col>
      <xdr:colOff>733425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1</xdr:col>
      <xdr:colOff>733425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66675</xdr:rowOff>
    </xdr:from>
    <xdr:to>
      <xdr:col>15</xdr:col>
      <xdr:colOff>581025</xdr:colOff>
      <xdr:row>35</xdr:row>
      <xdr:rowOff>95250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438149</xdr:colOff>
      <xdr:row>0</xdr:row>
      <xdr:rowOff>95250</xdr:rowOff>
    </xdr:from>
    <xdr:to>
      <xdr:col>12</xdr:col>
      <xdr:colOff>504825</xdr:colOff>
      <xdr:row>5</xdr:row>
      <xdr:rowOff>81642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885949" y="95250"/>
          <a:ext cx="5524501" cy="796017"/>
        </a:xfrm>
        <a:prstGeom prst="rect">
          <a:avLst/>
        </a:prstGeom>
        <a:ln>
          <a:headEnd/>
          <a:tailEnd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3366FF"/>
              </a:solidFill>
              <a:latin typeface="Arial"/>
              <a:cs typeface="Arial"/>
            </a:rPr>
            <a:t>GRAFIK RENCANA DAN REALISASI</a:t>
          </a:r>
        </a:p>
        <a:p>
          <a:pPr algn="ctr" rtl="0">
            <a:defRPr sz="1000"/>
          </a:pPr>
          <a:r>
            <a:rPr lang="en-US" sz="1400" b="1" i="0" strike="noStrike">
              <a:solidFill>
                <a:srgbClr val="3366FF"/>
              </a:solidFill>
              <a:latin typeface="Arial"/>
              <a:cs typeface="Arial"/>
            </a:rPr>
            <a:t>PELAKSANAAN KEGIATAN</a:t>
          </a:r>
          <a:r>
            <a:rPr lang="en-US" sz="1400" b="1" i="0" strike="noStrike" baseline="0">
              <a:solidFill>
                <a:srgbClr val="3366FF"/>
              </a:solidFill>
              <a:latin typeface="Arial"/>
              <a:cs typeface="Arial"/>
            </a:rPr>
            <a:t> KECAMATAN TAKTAKAN </a:t>
          </a:r>
        </a:p>
        <a:p>
          <a:pPr algn="ctr" rtl="0">
            <a:defRPr sz="1000"/>
          </a:pPr>
          <a:r>
            <a:rPr lang="en-US" sz="1400" b="1" i="0" strike="noStrike">
              <a:solidFill>
                <a:srgbClr val="3366FF"/>
              </a:solidFill>
              <a:latin typeface="Arial"/>
              <a:cs typeface="Arial"/>
            </a:rPr>
            <a:t>APBD KOTA SERANG TA. 20</a:t>
          </a:r>
          <a:r>
            <a:rPr lang="id-ID" sz="1400" b="1" i="0" strike="noStrike">
              <a:solidFill>
                <a:srgbClr val="3366FF"/>
              </a:solidFill>
              <a:latin typeface="Arial"/>
              <a:cs typeface="Arial"/>
            </a:rPr>
            <a:t>2</a:t>
          </a:r>
          <a:r>
            <a:rPr lang="en-US" sz="1400" b="1" i="0" strike="noStrike">
              <a:solidFill>
                <a:srgbClr val="3366FF"/>
              </a:solidFill>
              <a:latin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0</xdr:row>
      <xdr:rowOff>38100</xdr:rowOff>
    </xdr:from>
    <xdr:to>
      <xdr:col>1</xdr:col>
      <xdr:colOff>745332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3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0</xdr:row>
      <xdr:rowOff>38100</xdr:rowOff>
    </xdr:from>
    <xdr:to>
      <xdr:col>1</xdr:col>
      <xdr:colOff>745332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3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0</xdr:row>
      <xdr:rowOff>38100</xdr:rowOff>
    </xdr:from>
    <xdr:to>
      <xdr:col>1</xdr:col>
      <xdr:colOff>745332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3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0</xdr:row>
      <xdr:rowOff>38100</xdr:rowOff>
    </xdr:from>
    <xdr:to>
      <xdr:col>1</xdr:col>
      <xdr:colOff>745332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3" y="38100"/>
          <a:ext cx="1173955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1</xdr:col>
      <xdr:colOff>733425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1</xdr:col>
      <xdr:colOff>733425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1</xdr:col>
      <xdr:colOff>733425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38100</xdr:rowOff>
    </xdr:from>
    <xdr:to>
      <xdr:col>1</xdr:col>
      <xdr:colOff>733425</xdr:colOff>
      <xdr:row>3</xdr:row>
      <xdr:rowOff>190499</xdr:rowOff>
    </xdr:to>
    <xdr:pic>
      <xdr:nvPicPr>
        <xdr:cNvPr id="2" name="Picture 1" descr="Kota Sera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8100"/>
          <a:ext cx="1171574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view="pageBreakPreview" topLeftCell="A3" zoomScale="80" zoomScaleSheetLayoutView="80" workbookViewId="0">
      <selection activeCell="E38" sqref="E38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2.710937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2" max="12" width="15.5703125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154</v>
      </c>
      <c r="N5" s="44"/>
    </row>
    <row r="6" spans="1:14">
      <c r="A6" s="4"/>
      <c r="C6" s="22"/>
      <c r="J6" s="3" t="s">
        <v>3</v>
      </c>
      <c r="K6" s="3" t="s">
        <v>156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214" t="s">
        <v>8</v>
      </c>
      <c r="C10" s="129">
        <f>C11</f>
        <v>19475500015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214" t="s">
        <v>9</v>
      </c>
      <c r="C11" s="129">
        <f>C12</f>
        <v>19475500015</v>
      </c>
      <c r="D11" s="94">
        <f t="shared" ref="D11:I11" si="0">D12</f>
        <v>0.94188830874029805</v>
      </c>
      <c r="E11" s="94">
        <f t="shared" si="0"/>
        <v>0.94188830874029805</v>
      </c>
      <c r="F11" s="94">
        <f t="shared" si="0"/>
        <v>18343745771</v>
      </c>
      <c r="G11" s="94">
        <f t="shared" si="0"/>
        <v>94.188830874029804</v>
      </c>
      <c r="H11" s="94">
        <f t="shared" si="0"/>
        <v>94.188830874029804</v>
      </c>
      <c r="I11" s="94">
        <f t="shared" si="0"/>
        <v>93.246942565289501</v>
      </c>
      <c r="J11" s="6">
        <f>C11-F11</f>
        <v>1131754244</v>
      </c>
      <c r="K11" s="6">
        <f>J11/C11*100</f>
        <v>5.8111691259701912</v>
      </c>
      <c r="L11" s="9"/>
      <c r="N11" s="1"/>
    </row>
    <row r="12" spans="1:14" ht="36" customHeight="1">
      <c r="A12" s="236" t="s">
        <v>66</v>
      </c>
      <c r="B12" s="237"/>
      <c r="C12" s="127">
        <f>C13+C49+C55+C64+C68</f>
        <v>19475500015</v>
      </c>
      <c r="D12" s="126">
        <f>E12</f>
        <v>0.94188830874029805</v>
      </c>
      <c r="E12" s="126">
        <f>F12/C12*100%</f>
        <v>0.94188830874029805</v>
      </c>
      <c r="F12" s="126">
        <f>F13+F68+F49+F55+F64</f>
        <v>18343745771</v>
      </c>
      <c r="G12" s="126">
        <f>H12</f>
        <v>94.188830874029804</v>
      </c>
      <c r="H12" s="126">
        <f>F12/C12*100</f>
        <v>94.188830874029804</v>
      </c>
      <c r="I12" s="126">
        <f>H12-E12</f>
        <v>93.246942565289501</v>
      </c>
      <c r="J12" s="126">
        <f>J13+J68+J49+J55+J64</f>
        <v>1131754244</v>
      </c>
      <c r="K12" s="146">
        <f>J12/C12*100</f>
        <v>5.8111691259701912</v>
      </c>
      <c r="L12" s="203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12135004221</v>
      </c>
      <c r="D13" s="57">
        <f>E13</f>
        <v>0.94227327735183319</v>
      </c>
      <c r="E13" s="57">
        <f>F13/C13*100%</f>
        <v>0.94227327735183319</v>
      </c>
      <c r="F13" s="57">
        <f t="shared" si="1"/>
        <v>11434490198</v>
      </c>
      <c r="G13" s="57">
        <f>H13</f>
        <v>94.227327735183323</v>
      </c>
      <c r="H13" s="57">
        <f>F13/C13*100</f>
        <v>94.227327735183323</v>
      </c>
      <c r="I13" s="57">
        <f>H13-E13</f>
        <v>93.285054457831492</v>
      </c>
      <c r="J13" s="59">
        <f>C13-F13</f>
        <v>700514023</v>
      </c>
      <c r="K13" s="58">
        <f>J13/C13*100</f>
        <v>5.7726722648166762</v>
      </c>
      <c r="L13" s="58"/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F14" si="2">SUM(C15:C20)</f>
        <v>140773000</v>
      </c>
      <c r="D14" s="38">
        <f>E14</f>
        <v>0.81617213528162358</v>
      </c>
      <c r="E14" s="38">
        <f>F14/C14*100%</f>
        <v>0.81617213528162358</v>
      </c>
      <c r="F14" s="36">
        <f t="shared" si="2"/>
        <v>114895000</v>
      </c>
      <c r="G14" s="90">
        <f>H14</f>
        <v>81.617213528162353</v>
      </c>
      <c r="H14" s="90">
        <f>F14/C14*100</f>
        <v>81.617213528162353</v>
      </c>
      <c r="I14" s="99">
        <f>H14-E14</f>
        <v>80.801041392880734</v>
      </c>
      <c r="J14" s="52">
        <f>C14-F14</f>
        <v>25878000</v>
      </c>
      <c r="K14" s="51">
        <f>J14/C14*100</f>
        <v>18.38278647183764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208">
        <f>E15</f>
        <v>0.8725295927413047</v>
      </c>
      <c r="E15" s="208">
        <f>F15/C15*100%</f>
        <v>0.8725295927413047</v>
      </c>
      <c r="F15" s="209">
        <f>4500000+4500000+4500000+4500000+4500000+4500000+4500000+4500000+4500000+4500000+4500000+4500000+12930000</f>
        <v>66930000</v>
      </c>
      <c r="G15" s="210">
        <f>H15</f>
        <v>87.252959274130475</v>
      </c>
      <c r="H15" s="210">
        <f>F15/C15*100</f>
        <v>87.252959274130475</v>
      </c>
      <c r="I15" s="102">
        <f>H15-E15</f>
        <v>86.380429681389174</v>
      </c>
      <c r="J15" s="89">
        <f t="shared" ref="J15:J72" si="3">C15-F15</f>
        <v>9778000</v>
      </c>
      <c r="K15" s="12">
        <f>J15/C15*100</f>
        <v>12.747040725869532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208">
        <f t="shared" ref="D16:D20" si="4">E16</f>
        <v>1</v>
      </c>
      <c r="E16" s="208">
        <f t="shared" ref="E16:E20" si="5">F16/C16*100%</f>
        <v>1</v>
      </c>
      <c r="F16" s="209">
        <f>5350000+2000000</f>
        <v>7350000</v>
      </c>
      <c r="G16" s="210">
        <f t="shared" ref="G16:G21" si="6">H16</f>
        <v>100</v>
      </c>
      <c r="H16" s="210">
        <f t="shared" ref="H16:H20" si="7">F16/C16*100</f>
        <v>100</v>
      </c>
      <c r="I16" s="102">
        <f t="shared" ref="I16:I20" si="8">H16-E16</f>
        <v>99</v>
      </c>
      <c r="J16" s="89">
        <f t="shared" si="3"/>
        <v>0</v>
      </c>
      <c r="K16" s="12">
        <f t="shared" ref="K16:K72" si="9">J16/C16*100</f>
        <v>0</v>
      </c>
      <c r="L16" s="202"/>
      <c r="N16" s="1"/>
    </row>
    <row r="17" spans="1:14" ht="19.149999999999999" customHeight="1">
      <c r="A17" s="10"/>
      <c r="B17" s="48" t="s">
        <v>15</v>
      </c>
      <c r="C17" s="23">
        <v>8450000</v>
      </c>
      <c r="D17" s="208">
        <f t="shared" si="4"/>
        <v>1</v>
      </c>
      <c r="E17" s="208">
        <f t="shared" si="5"/>
        <v>1</v>
      </c>
      <c r="F17" s="209">
        <v>8450000</v>
      </c>
      <c r="G17" s="210">
        <f t="shared" si="6"/>
        <v>100</v>
      </c>
      <c r="H17" s="210">
        <f t="shared" si="7"/>
        <v>100</v>
      </c>
      <c r="I17" s="102">
        <f t="shared" si="8"/>
        <v>99</v>
      </c>
      <c r="J17" s="89">
        <f t="shared" si="3"/>
        <v>0</v>
      </c>
      <c r="K17" s="12">
        <f t="shared" si="9"/>
        <v>0</v>
      </c>
      <c r="L17" s="202"/>
      <c r="N17" s="1"/>
    </row>
    <row r="18" spans="1:14" ht="19.149999999999999" customHeight="1">
      <c r="A18" s="10"/>
      <c r="B18" s="48" t="s">
        <v>16</v>
      </c>
      <c r="C18" s="23">
        <v>7350000</v>
      </c>
      <c r="D18" s="208">
        <f t="shared" si="4"/>
        <v>1</v>
      </c>
      <c r="E18" s="208">
        <f t="shared" si="5"/>
        <v>1</v>
      </c>
      <c r="F18" s="209">
        <f>5275000+2075000</f>
        <v>7350000</v>
      </c>
      <c r="G18" s="210">
        <f t="shared" si="6"/>
        <v>100</v>
      </c>
      <c r="H18" s="210">
        <f t="shared" si="7"/>
        <v>100</v>
      </c>
      <c r="I18" s="102">
        <f t="shared" si="8"/>
        <v>99</v>
      </c>
      <c r="J18" s="89">
        <f t="shared" si="3"/>
        <v>0</v>
      </c>
      <c r="K18" s="12">
        <f t="shared" si="9"/>
        <v>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211">
        <f t="shared" si="4"/>
        <v>1</v>
      </c>
      <c r="E19" s="211">
        <f t="shared" si="5"/>
        <v>1</v>
      </c>
      <c r="F19" s="212">
        <f>6625000+1825000</f>
        <v>8450000</v>
      </c>
      <c r="G19" s="213">
        <f t="shared" si="6"/>
        <v>100</v>
      </c>
      <c r="H19" s="213">
        <f t="shared" si="7"/>
        <v>100</v>
      </c>
      <c r="I19" s="102">
        <f t="shared" si="8"/>
        <v>99</v>
      </c>
      <c r="J19" s="89">
        <f t="shared" si="3"/>
        <v>0</v>
      </c>
      <c r="K19" s="12">
        <f t="shared" si="9"/>
        <v>0</v>
      </c>
      <c r="L19" s="202"/>
      <c r="N19" s="1"/>
    </row>
    <row r="20" spans="1:14" ht="33" customHeight="1">
      <c r="A20" s="10"/>
      <c r="B20" s="49" t="s">
        <v>18</v>
      </c>
      <c r="C20" s="217">
        <v>32465000</v>
      </c>
      <c r="D20" s="11">
        <f t="shared" si="4"/>
        <v>0.50408131834283076</v>
      </c>
      <c r="E20" s="11">
        <f t="shared" si="5"/>
        <v>0.50408131834283076</v>
      </c>
      <c r="F20" s="216">
        <v>16365000</v>
      </c>
      <c r="G20" s="215">
        <f t="shared" si="6"/>
        <v>50.408131834283076</v>
      </c>
      <c r="H20" s="215">
        <f t="shared" si="7"/>
        <v>50.408131834283076</v>
      </c>
      <c r="I20" s="102">
        <f t="shared" si="8"/>
        <v>49.904050515940241</v>
      </c>
      <c r="J20" s="89">
        <f t="shared" si="3"/>
        <v>16100000</v>
      </c>
      <c r="K20" s="12">
        <f t="shared" si="9"/>
        <v>49.591868165716924</v>
      </c>
      <c r="L20" s="202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8992135602</v>
      </c>
      <c r="D21" s="38">
        <f>SUM(D22:D24)</f>
        <v>2.7587073609527204</v>
      </c>
      <c r="E21" s="38">
        <f>SUM(E22:E24)</f>
        <v>2.7587073609527204</v>
      </c>
      <c r="F21" s="36">
        <f>SUM(F22:F24)</f>
        <v>8559558469</v>
      </c>
      <c r="G21" s="90">
        <f t="shared" si="6"/>
        <v>95.189383788832231</v>
      </c>
      <c r="H21" s="90">
        <f>F21/C21*100</f>
        <v>95.189383788832231</v>
      </c>
      <c r="I21" s="99">
        <f>H21-E21</f>
        <v>92.430676427879504</v>
      </c>
      <c r="J21" s="52">
        <f t="shared" si="3"/>
        <v>432577133</v>
      </c>
      <c r="K21" s="51">
        <f t="shared" si="9"/>
        <v>4.8106162111677637</v>
      </c>
      <c r="L21" s="53"/>
      <c r="N21" s="46"/>
    </row>
    <row r="22" spans="1:14" ht="19.149999999999999" customHeight="1">
      <c r="A22" s="10"/>
      <c r="B22" s="48" t="s">
        <v>20</v>
      </c>
      <c r="C22" s="23">
        <v>8943270602</v>
      </c>
      <c r="D22" s="85">
        <f>E22</f>
        <v>0.951944075928566</v>
      </c>
      <c r="E22" s="85">
        <f>F22/C22*100%</f>
        <v>0.951944075928566</v>
      </c>
      <c r="F22" s="103">
        <f>586844600+275805000+987621900+615632300+876761900+5170800+589503100+343100000+520316000+343100000+247038500+343100000+247145500+338100000+247145500+638358339+2941978+357100000+295107488+357100000+296500564</f>
        <v>8513493469</v>
      </c>
      <c r="G22" s="104">
        <f>H22</f>
        <v>95.194407592856606</v>
      </c>
      <c r="H22" s="104">
        <f>F22/C22*100</f>
        <v>95.194407592856606</v>
      </c>
      <c r="I22" s="105">
        <f>H22-E22</f>
        <v>94.242463516928041</v>
      </c>
      <c r="J22" s="89">
        <f t="shared" si="3"/>
        <v>429777133</v>
      </c>
      <c r="K22" s="12">
        <f t="shared" si="9"/>
        <v>4.8055924071434015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0.80676328502415462</v>
      </c>
      <c r="E23" s="85">
        <f t="shared" ref="E23:E24" si="11">F23/C23*100%</f>
        <v>0.80676328502415462</v>
      </c>
      <c r="F23" s="103">
        <v>11690000</v>
      </c>
      <c r="G23" s="104">
        <f t="shared" ref="G23:G24" si="12">H23</f>
        <v>80.676328502415458</v>
      </c>
      <c r="H23" s="104">
        <f t="shared" ref="H23:H24" si="13">F23/C23*100</f>
        <v>80.676328502415458</v>
      </c>
      <c r="I23" s="105">
        <f t="shared" ref="I23:I24" si="14">H23-E23</f>
        <v>79.869565217391298</v>
      </c>
      <c r="J23" s="89">
        <f t="shared" si="3"/>
        <v>2800000</v>
      </c>
      <c r="K23" s="12">
        <f t="shared" si="9"/>
        <v>19.323671497584542</v>
      </c>
      <c r="L23" s="202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1</v>
      </c>
      <c r="E24" s="85">
        <f t="shared" si="11"/>
        <v>1</v>
      </c>
      <c r="F24" s="103">
        <f>1750000+1750000+1750000+1750000+1750000+1750000+1750000+1750000+1750000+13375000+1750000+1750000+1750000</f>
        <v>34375000</v>
      </c>
      <c r="G24" s="104">
        <f t="shared" si="12"/>
        <v>100</v>
      </c>
      <c r="H24" s="104">
        <f t="shared" si="13"/>
        <v>100</v>
      </c>
      <c r="I24" s="105">
        <f t="shared" si="14"/>
        <v>99</v>
      </c>
      <c r="J24" s="89">
        <f t="shared" si="3"/>
        <v>0</v>
      </c>
      <c r="K24" s="12">
        <f t="shared" si="9"/>
        <v>0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1</v>
      </c>
      <c r="E25" s="38">
        <f>E26</f>
        <v>1</v>
      </c>
      <c r="F25" s="36">
        <f>F26</f>
        <v>22520000</v>
      </c>
      <c r="G25" s="90">
        <f>H25</f>
        <v>100</v>
      </c>
      <c r="H25" s="90">
        <f>F25/C25*100</f>
        <v>100</v>
      </c>
      <c r="I25" s="99">
        <f>H25-E25</f>
        <v>99</v>
      </c>
      <c r="J25" s="52">
        <f t="shared" si="3"/>
        <v>0</v>
      </c>
      <c r="K25" s="51">
        <f t="shared" si="9"/>
        <v>0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98">
        <f>E26</f>
        <v>1</v>
      </c>
      <c r="E26" s="198">
        <f>F26/C26*100%</f>
        <v>1</v>
      </c>
      <c r="F26" s="134">
        <f>1500000+1500000+1500000+1500000+1500000+1500000+1500000+1500000+1500000+4520000+1500000+1500000+1500000</f>
        <v>22520000</v>
      </c>
      <c r="G26" s="101">
        <f>H26</f>
        <v>100</v>
      </c>
      <c r="H26" s="101">
        <f>F26/C26*100</f>
        <v>100</v>
      </c>
      <c r="I26" s="102">
        <f>H26-E26</f>
        <v>99</v>
      </c>
      <c r="J26" s="89">
        <f t="shared" si="3"/>
        <v>0</v>
      </c>
      <c r="K26" s="12">
        <f t="shared" si="9"/>
        <v>0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810627886</v>
      </c>
      <c r="D27" s="38">
        <f>E27</f>
        <v>0.90781250276406111</v>
      </c>
      <c r="E27" s="38">
        <f>F27/C27*100%</f>
        <v>0.90781250276406111</v>
      </c>
      <c r="F27" s="36">
        <f>SUM(F28:F35)</f>
        <v>735898130</v>
      </c>
      <c r="G27" s="90">
        <f t="shared" ref="G27:G35" si="15">H27</f>
        <v>90.781250276406112</v>
      </c>
      <c r="H27" s="90">
        <f>F27/C27*100</f>
        <v>90.781250276406112</v>
      </c>
      <c r="I27" s="99">
        <f>H27-E27</f>
        <v>89.873437773642053</v>
      </c>
      <c r="J27" s="52">
        <f t="shared" si="3"/>
        <v>74729756</v>
      </c>
      <c r="K27" s="51">
        <f t="shared" si="9"/>
        <v>9.2187497235938913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0.77761947599921355</v>
      </c>
      <c r="E28" s="14">
        <f>F28/C28*100%</f>
        <v>0.77761947599921355</v>
      </c>
      <c r="F28" s="106">
        <f>1069000+1205800+1785479+739000+271391+2626970+820000+1869081+805000+1842800+935200+1600000+1309500+383000+376000+185200+1090000+1187000+452000+947151+145000+185200+721693+770000+1187000+1370000+2100000+598800+801617+2105429</f>
        <v>31484311</v>
      </c>
      <c r="G28" s="101">
        <f t="shared" si="15"/>
        <v>77.761947599921356</v>
      </c>
      <c r="H28" s="101">
        <f t="shared" ref="H28:H35" si="16">F28/C28*100</f>
        <v>77.761947599921356</v>
      </c>
      <c r="I28" s="102">
        <f>H28-E28</f>
        <v>76.98432812392214</v>
      </c>
      <c r="J28" s="89">
        <f t="shared" si="3"/>
        <v>9003758</v>
      </c>
      <c r="K28" s="12">
        <f t="shared" si="9"/>
        <v>22.238052400078651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0.97430122650702611</v>
      </c>
      <c r="E29" s="14">
        <f t="shared" ref="E29:E35" si="18">F29/C29*100%</f>
        <v>0.97430122650702611</v>
      </c>
      <c r="F29" s="106">
        <f>4249723+4577000+5601100+2703035+2222000+870288+2844992+2836184+2390000+7589822+2380000+4229300+2645000+3055600+5742325+6109000+6077149+1205400+332000+1670027+6274650+19240448+16278239+3210000+1186716+1474000+1472000+2600000+8112000+1950000+838000+1999150+71314+1159000+2330000+3279167+2185000+4554000+8112500+3624000-185713</f>
        <v>159094416</v>
      </c>
      <c r="G29" s="101">
        <f t="shared" si="15"/>
        <v>97.430122650702614</v>
      </c>
      <c r="H29" s="101">
        <f t="shared" si="16"/>
        <v>97.430122650702614</v>
      </c>
      <c r="I29" s="102">
        <f t="shared" ref="I29:I35" si="19">H29-E29</f>
        <v>96.455821424195591</v>
      </c>
      <c r="J29" s="89">
        <f t="shared" si="3"/>
        <v>4196373</v>
      </c>
      <c r="K29" s="12">
        <f t="shared" si="9"/>
        <v>2.5698773492973936</v>
      </c>
      <c r="L29" s="13"/>
      <c r="N29" s="1"/>
    </row>
    <row r="30" spans="1:14" ht="19.149999999999999" customHeight="1">
      <c r="A30" s="10"/>
      <c r="B30" s="48" t="s">
        <v>67</v>
      </c>
      <c r="C30" s="23">
        <v>77077655</v>
      </c>
      <c r="D30" s="14">
        <f t="shared" si="17"/>
        <v>0.88799840887738479</v>
      </c>
      <c r="E30" s="14">
        <f t="shared" si="18"/>
        <v>0.88799840887738479</v>
      </c>
      <c r="F30" s="106">
        <f>3112000+3567351+707283+2239604+918922+2738000+2796490+2082000+1092000+4000000+2206485+2173500+1963700+7973000+1740000+833000+500000+4664000+780000+500000+1557874+1206500+600000+2129500+4664000+1796250+1738500+1016529+7148347</f>
        <v>68444835</v>
      </c>
      <c r="G30" s="101">
        <f t="shared" si="15"/>
        <v>88.799840887738483</v>
      </c>
      <c r="H30" s="101">
        <f t="shared" si="16"/>
        <v>88.799840887738483</v>
      </c>
      <c r="I30" s="102">
        <f t="shared" si="19"/>
        <v>87.911842478861104</v>
      </c>
      <c r="J30" s="89">
        <f t="shared" si="3"/>
        <v>8632820</v>
      </c>
      <c r="K30" s="12">
        <f t="shared" si="9"/>
        <v>11.200159112261524</v>
      </c>
      <c r="L30" s="13"/>
      <c r="N30" s="1"/>
    </row>
    <row r="31" spans="1:14" ht="19.149999999999999" customHeight="1">
      <c r="A31" s="10"/>
      <c r="B31" s="48" t="s">
        <v>28</v>
      </c>
      <c r="C31" s="23">
        <v>105357000</v>
      </c>
      <c r="D31" s="14">
        <f t="shared" si="17"/>
        <v>0.96416944294161755</v>
      </c>
      <c r="E31" s="14">
        <f t="shared" si="18"/>
        <v>0.96416944294161755</v>
      </c>
      <c r="F31" s="106">
        <f>7680000+2560000+3200000+1600000+1200000+1500000+1900000+2496000+1200000+11200000+570000+2500000+2500000+2496600+3840000+5760000+2560000+1280000+570000+2560000+1200000+5500000+950000+6720000+5760000+3200000+5500000+2500000+1843000+4480000+1900000+2856400</f>
        <v>101582000</v>
      </c>
      <c r="G31" s="101">
        <f t="shared" si="15"/>
        <v>96.416944294161752</v>
      </c>
      <c r="H31" s="101">
        <f t="shared" si="16"/>
        <v>96.416944294161752</v>
      </c>
      <c r="I31" s="102">
        <f t="shared" si="19"/>
        <v>95.452774851220141</v>
      </c>
      <c r="J31" s="89">
        <f t="shared" si="3"/>
        <v>3775000</v>
      </c>
      <c r="K31" s="12">
        <f t="shared" si="9"/>
        <v>3.5830557058382451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0.78215703927043878</v>
      </c>
      <c r="E32" s="14">
        <f t="shared" si="18"/>
        <v>0.78215703927043878</v>
      </c>
      <c r="F32" s="106">
        <f>2135000+1500000+3429552+2344658+3160791+1100000+4966880+1100000+2005050+6997240+900000+4500000+2005250+5000000+2291000+997240+1049000+2400000+2100000+168006+812750+1849998+1500000+2400000+300000+3430000+659143+450000+560245+9320425</f>
        <v>71432228</v>
      </c>
      <c r="G32" s="101">
        <f t="shared" si="15"/>
        <v>78.215703927043876</v>
      </c>
      <c r="H32" s="101">
        <f t="shared" si="16"/>
        <v>78.215703927043876</v>
      </c>
      <c r="I32" s="102">
        <f t="shared" si="19"/>
        <v>77.433546887773431</v>
      </c>
      <c r="J32" s="89">
        <f t="shared" si="3"/>
        <v>19894992</v>
      </c>
      <c r="K32" s="12">
        <f t="shared" si="9"/>
        <v>21.784296072956124</v>
      </c>
      <c r="L32" s="13"/>
      <c r="N32" s="1"/>
    </row>
    <row r="33" spans="1:14" ht="19.149999999999999" customHeight="1">
      <c r="A33" s="10"/>
      <c r="B33" s="48" t="s">
        <v>30</v>
      </c>
      <c r="C33" s="23">
        <v>54092153</v>
      </c>
      <c r="D33" s="14">
        <f t="shared" si="17"/>
        <v>0.83792819265300833</v>
      </c>
      <c r="E33" s="14">
        <f t="shared" si="18"/>
        <v>0.83792819265300833</v>
      </c>
      <c r="F33" s="106">
        <f>750000+4453000+927150+834435+1200000+661367+244000+915000+300000+1743042+2000000+271964+7417875+3090500+450000+480000+300000+500000+2400000+480000+568652+793000+1545250+3159500+540000+964236+200000+2400000+278145+596000+222516+244000+145032+4250676</f>
        <v>45325340</v>
      </c>
      <c r="G33" s="101">
        <f t="shared" si="15"/>
        <v>83.792819265300835</v>
      </c>
      <c r="H33" s="101">
        <f t="shared" si="16"/>
        <v>83.792819265300835</v>
      </c>
      <c r="I33" s="102">
        <f t="shared" si="19"/>
        <v>82.954891072647825</v>
      </c>
      <c r="J33" s="89">
        <f t="shared" si="3"/>
        <v>8766813</v>
      </c>
      <c r="K33" s="12">
        <f t="shared" si="9"/>
        <v>16.207180734699172</v>
      </c>
      <c r="L33" s="13"/>
      <c r="N33" s="1"/>
    </row>
    <row r="34" spans="1:14" ht="19.149999999999999" customHeight="1">
      <c r="A34" s="10"/>
      <c r="B34" s="48" t="s">
        <v>31</v>
      </c>
      <c r="C34" s="23">
        <v>100200000</v>
      </c>
      <c r="D34" s="14">
        <f t="shared" si="17"/>
        <v>0.99500998003992014</v>
      </c>
      <c r="E34" s="14">
        <f t="shared" si="18"/>
        <v>0.99500998003992014</v>
      </c>
      <c r="F34" s="106">
        <f>7500000+5000000+5000000+5000000+1125000+2500000+2500000+1000000+2500000+2500000+3930000+570000+3000000+2500000+2500000+2500000+2500000+2500000+2500000+900000+2500000+2000000+2000000+5000000+5000000+675000+2500000+1000000+10000000+2000000+2500000+1930000+4570000</f>
        <v>99700000</v>
      </c>
      <c r="G34" s="101">
        <f t="shared" si="15"/>
        <v>99.500998003992009</v>
      </c>
      <c r="H34" s="101">
        <f t="shared" si="16"/>
        <v>99.500998003992009</v>
      </c>
      <c r="I34" s="102">
        <f t="shared" si="19"/>
        <v>98.505988023952085</v>
      </c>
      <c r="J34" s="89">
        <f t="shared" si="3"/>
        <v>500000</v>
      </c>
      <c r="K34" s="12">
        <f t="shared" si="9"/>
        <v>0.49900199600798401</v>
      </c>
      <c r="L34" s="13"/>
      <c r="N34" s="1"/>
    </row>
    <row r="35" spans="1:14" ht="19.149999999999999" customHeight="1">
      <c r="A35" s="10"/>
      <c r="B35" s="48" t="s">
        <v>32</v>
      </c>
      <c r="C35" s="23">
        <v>178795000</v>
      </c>
      <c r="D35" s="14">
        <f t="shared" si="17"/>
        <v>0.88836376856176069</v>
      </c>
      <c r="E35" s="14">
        <f t="shared" si="18"/>
        <v>0.88836376856176069</v>
      </c>
      <c r="F35" s="106">
        <f>1800000+1000000+2770000+600000+2000000+2000000+1900000+3750000+1000000+1500000+550000+600000+3024975+1500000+27500000+1300000+1410000+1440000+1110000+1220000+1070000+1300000+500000+1825000+3000000+2375000+1870000+42450000+1060000+3400000+5000000+4810000+2030000+2410000+1825000+2410000+5210000+375000+5980000+2800000+1470000+2410000+2660000+2410000+210025</f>
        <v>158835000</v>
      </c>
      <c r="G35" s="101">
        <f t="shared" si="15"/>
        <v>88.836376856176074</v>
      </c>
      <c r="H35" s="101">
        <f t="shared" si="16"/>
        <v>88.836376856176074</v>
      </c>
      <c r="I35" s="102">
        <f t="shared" si="19"/>
        <v>87.948013087614314</v>
      </c>
      <c r="J35" s="89">
        <f t="shared" si="3"/>
        <v>19960000</v>
      </c>
      <c r="K35" s="12">
        <f t="shared" si="9"/>
        <v>11.163623143823932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110067517</v>
      </c>
      <c r="D36" s="38">
        <f>E36</f>
        <v>0.96804218814166576</v>
      </c>
      <c r="E36" s="38">
        <f>F36/C36*100%</f>
        <v>0.96804218814166576</v>
      </c>
      <c r="F36" s="36">
        <f>SUM(F37:F38)</f>
        <v>106550000</v>
      </c>
      <c r="G36" s="36">
        <f>H36</f>
        <v>96.804218814166575</v>
      </c>
      <c r="H36" s="36">
        <f>F36/C36*100</f>
        <v>96.804218814166575</v>
      </c>
      <c r="I36" s="36">
        <f>H36-E36</f>
        <v>95.836176626024908</v>
      </c>
      <c r="J36" s="52">
        <f t="shared" si="3"/>
        <v>3517517</v>
      </c>
      <c r="K36" s="51">
        <f t="shared" si="9"/>
        <v>3.1957811858334191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56000000</v>
      </c>
      <c r="D37" s="133">
        <f>E37</f>
        <v>0.9821428571428571</v>
      </c>
      <c r="E37" s="133">
        <f>F37/C37*100%</f>
        <v>0.9821428571428571</v>
      </c>
      <c r="F37" s="134">
        <f>4000000+1000000+20000000+12000000+9000000+9000000</f>
        <v>55000000</v>
      </c>
      <c r="G37" s="134">
        <f>H37</f>
        <v>98.214285714285708</v>
      </c>
      <c r="H37" s="134">
        <f>F37/C37*100</f>
        <v>98.214285714285708</v>
      </c>
      <c r="I37" s="134">
        <f>H37-E37</f>
        <v>97.232142857142847</v>
      </c>
      <c r="J37" s="122">
        <f>C37-F37</f>
        <v>1000000</v>
      </c>
      <c r="K37" s="123">
        <f>J37/C37*100</f>
        <v>1.7857142857142856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0.95343753255767227</v>
      </c>
      <c r="E38" s="133">
        <f>F38/C38*100%</f>
        <v>0.95343753255767227</v>
      </c>
      <c r="F38" s="106">
        <v>51550000</v>
      </c>
      <c r="G38" s="134">
        <f>H38</f>
        <v>95.343753255767226</v>
      </c>
      <c r="H38" s="134">
        <f>F38/C38*100</f>
        <v>95.343753255767226</v>
      </c>
      <c r="I38" s="134">
        <f>H38-E38</f>
        <v>94.390315723209554</v>
      </c>
      <c r="J38" s="89">
        <f t="shared" si="3"/>
        <v>2517517</v>
      </c>
      <c r="K38" s="12">
        <f t="shared" si="9"/>
        <v>4.6562467442327709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1577292216</v>
      </c>
      <c r="D39" s="38">
        <f>SUM(D40:D42)</f>
        <v>2.755616277970224</v>
      </c>
      <c r="E39" s="38">
        <f>SUM(E40:E42)</f>
        <v>2.755616277970224</v>
      </c>
      <c r="F39" s="36">
        <f>SUM(F40:F42)</f>
        <v>1481710599</v>
      </c>
      <c r="G39" s="90">
        <f t="shared" ref="G39:G42" si="20">H39</f>
        <v>93.94014526728634</v>
      </c>
      <c r="H39" s="90">
        <f>F39/C39*100</f>
        <v>93.94014526728634</v>
      </c>
      <c r="I39" s="99">
        <f>H39-E39</f>
        <v>91.184528989316121</v>
      </c>
      <c r="J39" s="52">
        <f t="shared" si="3"/>
        <v>95581617</v>
      </c>
      <c r="K39" s="51">
        <f t="shared" si="9"/>
        <v>6.0598547327136494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f>E40</f>
        <v>0.94001244894195179</v>
      </c>
      <c r="E40" s="14">
        <f>F40/C40*100%</f>
        <v>0.94001244894195179</v>
      </c>
      <c r="F40" s="106">
        <f>2000000+1782011+882698+750000+500000+300000+500000+300000+1250000+1250000+2400000+300000+1200000+500000+1600000+1500000+1750000+750000+900000+2500000+300000+750000+1000000+750000+3639485+450000+1860000+2500000+2250000+500000+67302</f>
        <v>36981496</v>
      </c>
      <c r="G40" s="104">
        <f t="shared" si="20"/>
        <v>94.001244894195182</v>
      </c>
      <c r="H40" s="104">
        <f t="shared" ref="H40:H42" si="21">F40/C40*100</f>
        <v>94.001244894195182</v>
      </c>
      <c r="I40" s="105">
        <f>H40-E40</f>
        <v>93.061232445253225</v>
      </c>
      <c r="J40" s="89">
        <f t="shared" si="3"/>
        <v>2360000</v>
      </c>
      <c r="K40" s="12">
        <f t="shared" si="9"/>
        <v>5.9987551058048227</v>
      </c>
      <c r="L40" s="13"/>
      <c r="N40" s="1"/>
    </row>
    <row r="41" spans="1:14" ht="19.149999999999999" customHeight="1">
      <c r="A41" s="10"/>
      <c r="B41" s="48" t="s">
        <v>37</v>
      </c>
      <c r="C41" s="23">
        <v>505550720</v>
      </c>
      <c r="D41" s="14">
        <f t="shared" ref="D41:D42" si="22">E41</f>
        <v>0.81560382902827233</v>
      </c>
      <c r="E41" s="14">
        <f t="shared" ref="E41:E42" si="23">F41/C41*100%</f>
        <v>0.81560382902827233</v>
      </c>
      <c r="F41" s="106">
        <f>6786602+3106436+2575000+1023850+2000000+632698+1200000+2047000+3000000+4008704+5000000+5000000+1500000+2700365+84869+5000000+5000000+2808718+3400000+3700000+1000000+2596347+448787+1950000+1637000+3300000+2500000+3084092+6332000+1800000+12510000+3000000+5000000+5020000+5750000+2746884+20845000+455400+579233+2400000+24000000+2000000+3000000+7000000+2325451+1000000+27820000+300000+211598+24000000+20000000+1800000+27400000+27020000+29020000+15000000+23019950+2294953+6250005+256165+9020000+16061996</f>
        <v>412329103</v>
      </c>
      <c r="G41" s="104">
        <f t="shared" si="20"/>
        <v>81.560382902827229</v>
      </c>
      <c r="H41" s="104">
        <f t="shared" si="21"/>
        <v>81.560382902827229</v>
      </c>
      <c r="I41" s="105">
        <f t="shared" ref="I41:I42" si="24">H41-E41</f>
        <v>80.744779073798952</v>
      </c>
      <c r="J41" s="89">
        <f t="shared" si="3"/>
        <v>93221617</v>
      </c>
      <c r="K41" s="12">
        <f t="shared" si="9"/>
        <v>18.439617097172761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f t="shared" si="22"/>
        <v>1</v>
      </c>
      <c r="E42" s="14">
        <f t="shared" si="23"/>
        <v>1</v>
      </c>
      <c r="F42" s="106">
        <f>6200000+6200000+6200000+6200000+234000000+2710000+78000000+2790000+6200000+78000000+6000000+78000000+6200000+78000000+6200000+2710000+78000000+6200000+78000000+5580000+6200000+78000000+5420000+2790000+6200000+6200000+6200000+78000000+72000000</f>
        <v>1032400000</v>
      </c>
      <c r="G42" s="104">
        <f t="shared" si="20"/>
        <v>100</v>
      </c>
      <c r="H42" s="104">
        <f t="shared" si="21"/>
        <v>100</v>
      </c>
      <c r="I42" s="105">
        <f t="shared" si="24"/>
        <v>99</v>
      </c>
      <c r="J42" s="89">
        <f t="shared" si="3"/>
        <v>0</v>
      </c>
      <c r="K42" s="12">
        <f t="shared" si="9"/>
        <v>0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481588000</v>
      </c>
      <c r="D43" s="38">
        <f>E43</f>
        <v>0.85832288179938043</v>
      </c>
      <c r="E43" s="39">
        <f>F43/C43*100%</f>
        <v>0.85832288179938043</v>
      </c>
      <c r="F43" s="37">
        <f>SUM(F44:F48)</f>
        <v>413358000</v>
      </c>
      <c r="G43" s="91">
        <f>H43</f>
        <v>85.832288179938047</v>
      </c>
      <c r="H43" s="91">
        <f>F43/C43*100</f>
        <v>85.832288179938047</v>
      </c>
      <c r="I43" s="91">
        <f>H43-E43</f>
        <v>84.973965298138666</v>
      </c>
      <c r="J43" s="52">
        <f t="shared" si="3"/>
        <v>68230000</v>
      </c>
      <c r="K43" s="51">
        <f t="shared" si="9"/>
        <v>14.167711820061962</v>
      </c>
      <c r="L43" s="37"/>
      <c r="N43" s="62"/>
    </row>
    <row r="44" spans="1:14" ht="37.15" customHeight="1">
      <c r="A44" s="15"/>
      <c r="B44" s="64" t="s">
        <v>40</v>
      </c>
      <c r="C44" s="24">
        <v>199830000</v>
      </c>
      <c r="D44" s="14">
        <f>E44</f>
        <v>0.90694590401841568</v>
      </c>
      <c r="E44" s="14">
        <f>F44/C44*100%</f>
        <v>0.90694590401841568</v>
      </c>
      <c r="F44" s="107">
        <f>3920000+560000+5000000+4000000+1750000+1920000+2600000+2885000+520000+4100000+4375000+5000000+5315000+12960000+1150000+7300000+1100000+3200000+3320000+9050000+2110000+9720000+125000+2800000+1000000+2650000+5660000+1200000+800000+2000000+600000+18100000+3750000+3400000+1400000+3800000+4030000+4010000+1095000+2800000+12960000+800000+1000000+1150000+3800000+4850000+2200000+3400000</f>
        <v>181235000</v>
      </c>
      <c r="G44" s="104">
        <f t="shared" ref="G44:G48" si="25">H44</f>
        <v>90.694590401841566</v>
      </c>
      <c r="H44" s="104">
        <f t="shared" ref="H44:H48" si="26">F44/C44*100</f>
        <v>90.694590401841566</v>
      </c>
      <c r="I44" s="118">
        <f>H44-E44</f>
        <v>89.787644497823152</v>
      </c>
      <c r="J44" s="89">
        <f t="shared" si="3"/>
        <v>18595000</v>
      </c>
      <c r="K44" s="12">
        <f t="shared" si="9"/>
        <v>9.3054095981584339</v>
      </c>
      <c r="L44" s="16"/>
    </row>
    <row r="45" spans="1:14" ht="37.15" customHeight="1">
      <c r="A45" s="15"/>
      <c r="B45" s="199" t="s">
        <v>73</v>
      </c>
      <c r="C45" s="24">
        <v>9240000</v>
      </c>
      <c r="D45" s="14">
        <f t="shared" ref="D45:D48" si="27">E45</f>
        <v>0.73809523809523814</v>
      </c>
      <c r="E45" s="14">
        <f t="shared" ref="E45:E48" si="28">F45/C45*100%</f>
        <v>0.73809523809523814</v>
      </c>
      <c r="F45" s="107">
        <f>1520000+900000+1100000+3300000</f>
        <v>6820000</v>
      </c>
      <c r="G45" s="104">
        <f t="shared" si="25"/>
        <v>73.80952380952381</v>
      </c>
      <c r="H45" s="104">
        <f t="shared" si="26"/>
        <v>73.80952380952381</v>
      </c>
      <c r="I45" s="118">
        <f t="shared" ref="I45:I59" si="29">H45-E45</f>
        <v>73.071428571428569</v>
      </c>
      <c r="J45" s="89">
        <f t="shared" si="3"/>
        <v>2420000</v>
      </c>
      <c r="K45" s="12">
        <f t="shared" si="9"/>
        <v>26.190476190476193</v>
      </c>
      <c r="L45" s="16"/>
    </row>
    <row r="46" spans="1:14" ht="19.149999999999999" customHeight="1">
      <c r="A46" s="15"/>
      <c r="B46" s="63" t="s">
        <v>41</v>
      </c>
      <c r="C46" s="24">
        <v>115030000</v>
      </c>
      <c r="D46" s="14">
        <f t="shared" si="27"/>
        <v>0.72194210206033205</v>
      </c>
      <c r="E46" s="14">
        <f t="shared" si="28"/>
        <v>0.72194210206033205</v>
      </c>
      <c r="F46" s="107">
        <f>2640000+550000+6070000+1000000+1050000+4060000+730000+5830000+1540000+1460000+4130000+700000+4000000+3220000+4070000+3280000+1750000+6870000+3210000+1330000+2190000+1460000+2410000+915000+2400000+2100000+400000+3980000+5700000+4000000</f>
        <v>83045000</v>
      </c>
      <c r="G46" s="104">
        <f t="shared" si="25"/>
        <v>72.194210206033205</v>
      </c>
      <c r="H46" s="104">
        <f t="shared" si="26"/>
        <v>72.194210206033205</v>
      </c>
      <c r="I46" s="118">
        <f t="shared" si="29"/>
        <v>71.47226810397288</v>
      </c>
      <c r="J46" s="89">
        <f t="shared" si="3"/>
        <v>31985000</v>
      </c>
      <c r="K46" s="12">
        <f t="shared" si="9"/>
        <v>27.805789793966788</v>
      </c>
      <c r="L46" s="16"/>
    </row>
    <row r="47" spans="1:14" ht="19.149999999999999" customHeight="1">
      <c r="A47" s="15"/>
      <c r="B47" s="220" t="s">
        <v>42</v>
      </c>
      <c r="C47" s="24">
        <v>68008000</v>
      </c>
      <c r="D47" s="14">
        <f t="shared" si="27"/>
        <v>0.94706505117045059</v>
      </c>
      <c r="E47" s="14">
        <f t="shared" si="28"/>
        <v>0.94706505117045059</v>
      </c>
      <c r="F47" s="107">
        <f>23328000+19480000+21600000</f>
        <v>64408000</v>
      </c>
      <c r="G47" s="104">
        <f t="shared" si="25"/>
        <v>94.706505117045054</v>
      </c>
      <c r="H47" s="104">
        <f t="shared" si="26"/>
        <v>94.706505117045054</v>
      </c>
      <c r="I47" s="118">
        <f t="shared" si="29"/>
        <v>93.7594400658746</v>
      </c>
      <c r="J47" s="89">
        <f t="shared" si="3"/>
        <v>3600000</v>
      </c>
      <c r="K47" s="12">
        <f t="shared" si="9"/>
        <v>5.2934948829549464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7"/>
        <v>0.87002682163611977</v>
      </c>
      <c r="E48" s="14">
        <f t="shared" si="28"/>
        <v>0.87002682163611977</v>
      </c>
      <c r="F48" s="107">
        <f>4040000+6850818+51089182+15870000</f>
        <v>77850000</v>
      </c>
      <c r="G48" s="104">
        <f t="shared" si="25"/>
        <v>87.002682163611979</v>
      </c>
      <c r="H48" s="104">
        <f t="shared" si="26"/>
        <v>87.002682163611979</v>
      </c>
      <c r="I48" s="118">
        <f t="shared" si="29"/>
        <v>86.132655341975862</v>
      </c>
      <c r="J48" s="89">
        <f t="shared" si="3"/>
        <v>11630000</v>
      </c>
      <c r="K48" s="12">
        <f t="shared" si="9"/>
        <v>12.997317836388019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1</v>
      </c>
      <c r="E49" s="67">
        <f>E50</f>
        <v>1</v>
      </c>
      <c r="F49" s="67">
        <f>F50+F52</f>
        <v>181535000</v>
      </c>
      <c r="G49" s="67">
        <f t="shared" ref="G49:H49" si="30">G50</f>
        <v>100</v>
      </c>
      <c r="H49" s="67">
        <f t="shared" si="30"/>
        <v>100</v>
      </c>
      <c r="I49" s="67">
        <f t="shared" si="29"/>
        <v>99</v>
      </c>
      <c r="J49" s="59">
        <f t="shared" si="3"/>
        <v>16477940</v>
      </c>
      <c r="K49" s="58">
        <f t="shared" si="9"/>
        <v>8.3216480700705731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1</v>
      </c>
      <c r="E50" s="109">
        <f>SUM(E51:E51)</f>
        <v>1</v>
      </c>
      <c r="F50" s="110">
        <f>SUM(F51)</f>
        <v>49535000</v>
      </c>
      <c r="G50" s="110">
        <f t="shared" ref="G50" si="31">SUM(G51)</f>
        <v>100</v>
      </c>
      <c r="H50" s="110">
        <f t="shared" ref="H50:H59" si="32">F50/C50*100</f>
        <v>100</v>
      </c>
      <c r="I50" s="110">
        <f t="shared" si="29"/>
        <v>99</v>
      </c>
      <c r="J50" s="52">
        <f t="shared" si="3"/>
        <v>0</v>
      </c>
      <c r="K50" s="51">
        <f t="shared" si="9"/>
        <v>0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1</v>
      </c>
      <c r="E51" s="108">
        <f>F51/C51*100%</f>
        <v>1</v>
      </c>
      <c r="F51" s="107">
        <f>17460000+32075000</f>
        <v>49535000</v>
      </c>
      <c r="G51" s="111">
        <f>H51</f>
        <v>100</v>
      </c>
      <c r="H51" s="111">
        <f t="shared" si="32"/>
        <v>100</v>
      </c>
      <c r="I51" s="108">
        <f t="shared" si="29"/>
        <v>99</v>
      </c>
      <c r="J51" s="89">
        <f t="shared" si="3"/>
        <v>0</v>
      </c>
      <c r="K51" s="12">
        <f t="shared" si="9"/>
        <v>0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E52</f>
        <v>1</v>
      </c>
      <c r="E52" s="39">
        <f>E53+E54</f>
        <v>1</v>
      </c>
      <c r="F52" s="37">
        <f>SUM(F53:F54)</f>
        <v>132000000</v>
      </c>
      <c r="G52" s="37">
        <f>H52</f>
        <v>88.902095489740759</v>
      </c>
      <c r="H52" s="37">
        <f t="shared" si="32"/>
        <v>88.902095489740759</v>
      </c>
      <c r="I52" s="37">
        <f t="shared" si="29"/>
        <v>87.902095489740759</v>
      </c>
      <c r="J52" s="52">
        <f t="shared" si="3"/>
        <v>16477940</v>
      </c>
      <c r="K52" s="51">
        <f t="shared" si="9"/>
        <v>11.097904510259236</v>
      </c>
      <c r="L52" s="121"/>
      <c r="N52" s="28"/>
    </row>
    <row r="53" spans="1:14" ht="29.45" customHeight="1">
      <c r="A53" s="15"/>
      <c r="B53" s="221" t="s">
        <v>68</v>
      </c>
      <c r="C53" s="120">
        <v>16477940</v>
      </c>
      <c r="D53" s="14">
        <f t="shared" ref="D53:D54" si="34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 t="shared" si="32"/>
        <v>0</v>
      </c>
      <c r="I53" s="108">
        <f t="shared" si="29"/>
        <v>0</v>
      </c>
      <c r="J53" s="89">
        <f t="shared" si="3"/>
        <v>16477940</v>
      </c>
      <c r="K53" s="12">
        <f t="shared" si="9"/>
        <v>100</v>
      </c>
      <c r="L53" s="9"/>
    </row>
    <row r="54" spans="1:14" ht="29.45" customHeight="1">
      <c r="A54" s="15"/>
      <c r="B54" s="64" t="s">
        <v>47</v>
      </c>
      <c r="C54" s="120">
        <v>132000000</v>
      </c>
      <c r="D54" s="14">
        <f t="shared" si="34"/>
        <v>1</v>
      </c>
      <c r="E54" s="108">
        <f>F54/C54*100%</f>
        <v>1</v>
      </c>
      <c r="F54" s="107">
        <f>6000000+6000000+6000000+6000000+6000000+6000000+60000000+6000000+6000000+6000000+6000000+6000000+6000000</f>
        <v>132000000</v>
      </c>
      <c r="G54" s="111">
        <f>H54</f>
        <v>100</v>
      </c>
      <c r="H54" s="111">
        <f t="shared" si="32"/>
        <v>100</v>
      </c>
      <c r="I54" s="108">
        <f t="shared" si="29"/>
        <v>99</v>
      </c>
      <c r="J54" s="89">
        <f t="shared" si="3"/>
        <v>0</v>
      </c>
      <c r="K54" s="12">
        <f t="shared" si="9"/>
        <v>0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5688201574</v>
      </c>
      <c r="D55" s="57">
        <f>D56</f>
        <v>0.96640444280584048</v>
      </c>
      <c r="E55" s="79">
        <f>E56</f>
        <v>0.96640444280584048</v>
      </c>
      <c r="F55" s="113">
        <f>F56+F60</f>
        <v>5431433013</v>
      </c>
      <c r="G55" s="113">
        <f>F55/C55*100</f>
        <v>95.485944763743007</v>
      </c>
      <c r="H55" s="113">
        <f t="shared" si="32"/>
        <v>95.485944763743007</v>
      </c>
      <c r="I55" s="113">
        <f t="shared" si="29"/>
        <v>94.519540320937168</v>
      </c>
      <c r="J55" s="59">
        <f t="shared" si="3"/>
        <v>256768561</v>
      </c>
      <c r="K55" s="58">
        <f t="shared" si="9"/>
        <v>4.5140552362569979</v>
      </c>
      <c r="L55" s="77"/>
    </row>
    <row r="56" spans="1:14" ht="29.45" customHeight="1">
      <c r="A56" s="69" t="s">
        <v>91</v>
      </c>
      <c r="B56" s="204" t="s">
        <v>75</v>
      </c>
      <c r="C56" s="139">
        <f>C57+C58+C59</f>
        <v>5609121644</v>
      </c>
      <c r="D56" s="114">
        <f>E56</f>
        <v>0.96640444280584048</v>
      </c>
      <c r="E56" s="114">
        <f>F56/C56*100%</f>
        <v>0.96640444280584048</v>
      </c>
      <c r="F56" s="140">
        <f>F57+F58+F59</f>
        <v>5420680077</v>
      </c>
      <c r="G56" s="140">
        <f>H56</f>
        <v>96.640444280584049</v>
      </c>
      <c r="H56" s="140">
        <f t="shared" si="32"/>
        <v>96.640444280584049</v>
      </c>
      <c r="I56" s="140">
        <f t="shared" si="29"/>
        <v>95.67403983777821</v>
      </c>
      <c r="J56" s="52">
        <f>C56-F56</f>
        <v>188441567</v>
      </c>
      <c r="K56" s="51">
        <f t="shared" si="9"/>
        <v>3.3595557194159507</v>
      </c>
      <c r="L56" s="141"/>
    </row>
    <row r="57" spans="1:14" s="144" customFormat="1" ht="29.45" customHeight="1">
      <c r="A57" s="142"/>
      <c r="B57" s="136" t="s">
        <v>76</v>
      </c>
      <c r="C57" s="120">
        <v>166218966</v>
      </c>
      <c r="D57" s="112">
        <f>E57</f>
        <v>0.86895988752571107</v>
      </c>
      <c r="E57" s="108">
        <f>F57/C57*100%</f>
        <v>0.86895988752571107</v>
      </c>
      <c r="F57" s="107">
        <f>12811000+10988000+10857940+8474300+11962442+9826442+10322702+11265000+14047965+9530000+10934732+12511000+10906091</f>
        <v>144437614</v>
      </c>
      <c r="G57" s="111">
        <f>H57</f>
        <v>86.895988752571114</v>
      </c>
      <c r="H57" s="111">
        <f t="shared" si="32"/>
        <v>86.895988752571114</v>
      </c>
      <c r="I57" s="108">
        <f t="shared" si="29"/>
        <v>86.027028865045409</v>
      </c>
      <c r="J57" s="122">
        <f>C57-F57</f>
        <v>21781352</v>
      </c>
      <c r="K57" s="123">
        <f t="shared" si="9"/>
        <v>13.104011247428888</v>
      </c>
      <c r="L57" s="143"/>
    </row>
    <row r="58" spans="1:14" s="144" customFormat="1" ht="29.45" customHeight="1">
      <c r="A58" s="142"/>
      <c r="B58" s="136" t="s">
        <v>77</v>
      </c>
      <c r="C58" s="120">
        <v>956340289</v>
      </c>
      <c r="D58" s="112">
        <f t="shared" ref="D58:D59" si="35">E58</f>
        <v>0.90871134678296506</v>
      </c>
      <c r="E58" s="108">
        <f t="shared" ref="E58:E59" si="36">F58/C58*100%</f>
        <v>0.90871134678296506</v>
      </c>
      <c r="F58" s="107">
        <f>33568000+30000000+30398000+30595600+2574500+33881770+23178900+35846000+2755927+39272726+24875310+29952600+34080000+30282000+44394700+54290000+38496025+44250000+7820000+4000000+42255000+7820000+22197350+84970000+56669489+15493375+45650000+19470000</f>
        <v>869037272</v>
      </c>
      <c r="G58" s="111">
        <f t="shared" ref="G58:G59" si="37">H58</f>
        <v>90.871134678296499</v>
      </c>
      <c r="H58" s="111">
        <f t="shared" si="32"/>
        <v>90.871134678296499</v>
      </c>
      <c r="I58" s="108">
        <f t="shared" si="29"/>
        <v>89.962423331513534</v>
      </c>
      <c r="J58" s="122">
        <f t="shared" ref="J58:J59" si="38">C58-F58</f>
        <v>87303017</v>
      </c>
      <c r="K58" s="123">
        <f t="shared" si="9"/>
        <v>9.128865321703497</v>
      </c>
      <c r="L58" s="143"/>
    </row>
    <row r="59" spans="1:14" ht="29.45" customHeight="1">
      <c r="A59" s="15"/>
      <c r="B59" s="136" t="s">
        <v>78</v>
      </c>
      <c r="C59" s="120">
        <v>4486562389</v>
      </c>
      <c r="D59" s="112">
        <f t="shared" si="35"/>
        <v>0.98231224908527626</v>
      </c>
      <c r="E59" s="108">
        <f t="shared" si="36"/>
        <v>0.98231224908527626</v>
      </c>
      <c r="F59" s="107">
        <f>47710000+42763636+28800000+56250000+33600000+93150000+12708191+2574500+13500000+37500000+34140000+40200000+44400000+19250000+48150000+44700000+2790000+63000000+38400000+17640000+18624000+21450000+45000000+40200000+28800000+44700000+26550000+29700000+63000000+33600000+38400000+93150000+129840000+13500000+47250000+17460000+47250000+34200000+38400000+92550000+66300000+66300000+50400000+50400000+42900000+42900000+3800000+34200000+37500000+34140000+48000000+38400000+21450000+45000000+40200000+13661500+13661500+44400000+48150000+44700000+28800000+29700000+26550000+63000000+45900000+45900000+45900000+33600000+3230000+38400000+66300000+50400000+93150000+64920000+42900000+64890000+34200000+37500000+24000000+34140000+38400000+21450000+13500000+13500000+45000000+40200000+44400000+48150000+63000000+7200000+66300000+38400000+50400000+13500000+64920000+107790000+34900000+374001864+37500000</f>
        <v>4407205191</v>
      </c>
      <c r="G59" s="111">
        <f t="shared" si="37"/>
        <v>98.231224908527622</v>
      </c>
      <c r="H59" s="111">
        <f t="shared" si="32"/>
        <v>98.231224908527622</v>
      </c>
      <c r="I59" s="108">
        <f t="shared" si="29"/>
        <v>97.24891265944234</v>
      </c>
      <c r="J59" s="122">
        <f t="shared" si="38"/>
        <v>79357198</v>
      </c>
      <c r="K59" s="123">
        <f t="shared" si="9"/>
        <v>1.7687750914723768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0.27312434366455446</v>
      </c>
      <c r="E60" s="109">
        <f>D60</f>
        <v>0.27312434366455446</v>
      </c>
      <c r="F60" s="109">
        <f>SUM(F61:F63)</f>
        <v>10752936</v>
      </c>
      <c r="G60" s="109">
        <f>F60/C60*100</f>
        <v>13.597553766170506</v>
      </c>
      <c r="H60" s="109">
        <f t="shared" ref="H60:I60" si="39">G60</f>
        <v>13.597553766170506</v>
      </c>
      <c r="I60" s="109">
        <f t="shared" si="39"/>
        <v>13.597553766170506</v>
      </c>
      <c r="J60" s="52">
        <f t="shared" si="3"/>
        <v>68326994</v>
      </c>
      <c r="K60" s="51">
        <f t="shared" si="9"/>
        <v>86.402446233829494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0">E61</f>
        <v>0.27312434366455446</v>
      </c>
      <c r="E61" s="108">
        <f>F61/C61*100%</f>
        <v>0.27312434366455446</v>
      </c>
      <c r="F61" s="107">
        <v>10752936</v>
      </c>
      <c r="G61" s="111">
        <f>H61</f>
        <v>27.312434366455445</v>
      </c>
      <c r="H61" s="111">
        <f>F61/C61*100</f>
        <v>27.312434366455445</v>
      </c>
      <c r="I61" s="108">
        <f>E61-H61</f>
        <v>-27.03931002279089</v>
      </c>
      <c r="J61" s="89">
        <f t="shared" si="3"/>
        <v>28617176</v>
      </c>
      <c r="K61" s="12">
        <f t="shared" si="9"/>
        <v>72.687565633544551</v>
      </c>
      <c r="L61" s="9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0"/>
        <v>0</v>
      </c>
      <c r="E62" s="108">
        <f t="shared" ref="E62:E63" si="41">F62/C62*100%</f>
        <v>0</v>
      </c>
      <c r="F62" s="107">
        <v>0</v>
      </c>
      <c r="G62" s="111">
        <f t="shared" ref="G62:G63" si="42">H62</f>
        <v>0</v>
      </c>
      <c r="H62" s="111">
        <f t="shared" ref="H62:H63" si="43">F62/C62*100</f>
        <v>0</v>
      </c>
      <c r="I62" s="108">
        <f t="shared" ref="I62:I63" si="44">E62-H62</f>
        <v>0</v>
      </c>
      <c r="J62" s="89">
        <f t="shared" si="3"/>
        <v>15600000</v>
      </c>
      <c r="K62" s="12">
        <f t="shared" si="9"/>
        <v>100</v>
      </c>
      <c r="L62" s="9"/>
    </row>
    <row r="63" spans="1:14" ht="19.149999999999999" customHeight="1">
      <c r="A63" s="18"/>
      <c r="B63" s="222" t="s">
        <v>70</v>
      </c>
      <c r="C63" s="120">
        <v>24109818</v>
      </c>
      <c r="D63" s="14">
        <f t="shared" si="40"/>
        <v>0</v>
      </c>
      <c r="E63" s="108">
        <f t="shared" si="41"/>
        <v>0</v>
      </c>
      <c r="F63" s="107">
        <v>0</v>
      </c>
      <c r="G63" s="111">
        <f t="shared" si="42"/>
        <v>0</v>
      </c>
      <c r="H63" s="111">
        <f t="shared" si="43"/>
        <v>0</v>
      </c>
      <c r="I63" s="108">
        <f t="shared" si="44"/>
        <v>0</v>
      </c>
      <c r="J63" s="89">
        <f t="shared" si="3"/>
        <v>24109818</v>
      </c>
      <c r="K63" s="12">
        <f t="shared" si="9"/>
        <v>100</v>
      </c>
      <c r="L63" s="202"/>
    </row>
    <row r="64" spans="1:14" ht="19.149999999999999" customHeight="1">
      <c r="A64" s="190" t="s">
        <v>82</v>
      </c>
      <c r="B64" s="76" t="s">
        <v>137</v>
      </c>
      <c r="C64" s="196">
        <f>C65</f>
        <v>1153650280</v>
      </c>
      <c r="D64" s="191">
        <f>D65</f>
        <v>0.94083759941530987</v>
      </c>
      <c r="E64" s="191">
        <f t="shared" ref="E64:K64" si="45">E65</f>
        <v>0.94083759941530987</v>
      </c>
      <c r="F64" s="191">
        <f t="shared" si="45"/>
        <v>1085397560</v>
      </c>
      <c r="G64" s="191">
        <f t="shared" si="45"/>
        <v>94.083759941530985</v>
      </c>
      <c r="H64" s="191">
        <f t="shared" si="45"/>
        <v>94.083759941530985</v>
      </c>
      <c r="I64" s="191">
        <f t="shared" si="45"/>
        <v>94.083759941530985</v>
      </c>
      <c r="J64" s="191">
        <f t="shared" si="45"/>
        <v>68252720</v>
      </c>
      <c r="K64" s="191">
        <f t="shared" si="45"/>
        <v>5.9162400584690191</v>
      </c>
      <c r="L64" s="191"/>
    </row>
    <row r="65" spans="1:12" ht="19.149999999999999" customHeight="1">
      <c r="A65" s="192" t="s">
        <v>93</v>
      </c>
      <c r="B65" s="29" t="s">
        <v>157</v>
      </c>
      <c r="C65" s="195">
        <f>C66+C67</f>
        <v>1153650280</v>
      </c>
      <c r="D65" s="38">
        <f>E65</f>
        <v>0.94083759941530987</v>
      </c>
      <c r="E65" s="109">
        <f>F65/C65*100%</f>
        <v>0.94083759941530987</v>
      </c>
      <c r="F65" s="109">
        <f>F66+F67</f>
        <v>1085397560</v>
      </c>
      <c r="G65" s="197">
        <f>H65</f>
        <v>94.083759941530985</v>
      </c>
      <c r="H65" s="109">
        <f>F65/C65*100</f>
        <v>94.083759941530985</v>
      </c>
      <c r="I65" s="109">
        <f>H65</f>
        <v>94.083759941530985</v>
      </c>
      <c r="J65" s="52">
        <f t="shared" ref="J65:J67" si="46">C65-F65</f>
        <v>68252720</v>
      </c>
      <c r="K65" s="51">
        <f t="shared" ref="K65:K67" si="47">J65/C65*100</f>
        <v>5.9162400584690191</v>
      </c>
      <c r="L65" s="73"/>
    </row>
    <row r="66" spans="1:12" ht="36" customHeight="1">
      <c r="A66" s="189"/>
      <c r="B66" s="247" t="s">
        <v>143</v>
      </c>
      <c r="C66" s="188">
        <v>917249280</v>
      </c>
      <c r="D66" s="14">
        <f t="shared" ref="D66:D67" si="48">E66</f>
        <v>0.94468409939771225</v>
      </c>
      <c r="E66" s="108">
        <f>F66/C66*100%</f>
        <v>0.94468409939771225</v>
      </c>
      <c r="F66" s="107">
        <f>13051100+14945000+42060220+11030000+13016640+13450000+21694530+20360000+15765000+120607500+13459220+15200000+1500000+18850000+6173280+4995000+4193280+6300000+23964400+17740000+9107500+9257500+2025000+24157720+16365000+21676000+4200000+16050000+10635000+19690000+3417500+9450000+14465000+11520000+2850000+12475000+26900000+8192500+17350000+9400000+19690000+6372500+12447500+6300000+16650000+14000000+2250000+8460000+16950000+3396530+35396640+10500000+13650000+17051250+35857500</f>
        <v>866510810</v>
      </c>
      <c r="G66" s="111">
        <f>H66</f>
        <v>94.46840993977122</v>
      </c>
      <c r="H66" s="111">
        <f>F66/C66*100</f>
        <v>94.46840993977122</v>
      </c>
      <c r="I66" s="108">
        <f>H66-E66</f>
        <v>93.523725840373501</v>
      </c>
      <c r="J66" s="89">
        <f t="shared" si="46"/>
        <v>50738470</v>
      </c>
      <c r="K66" s="12">
        <f t="shared" si="47"/>
        <v>5.5315900602287744</v>
      </c>
      <c r="L66" s="16"/>
    </row>
    <row r="67" spans="1:12" ht="19.149999999999999" customHeight="1">
      <c r="A67" s="189"/>
      <c r="B67" s="222" t="s">
        <v>144</v>
      </c>
      <c r="C67" s="188">
        <v>236401000</v>
      </c>
      <c r="D67" s="14">
        <f t="shared" si="48"/>
        <v>0.9259129614510937</v>
      </c>
      <c r="E67" s="108">
        <f t="shared" ref="E67" si="49">F67/C67*100%</f>
        <v>0.9259129614510937</v>
      </c>
      <c r="F67" s="107">
        <f>5420000+4462500+8045000+7118000+22365000+6710000+11151500+8220000+10150000+7415000+4800000+3420000+2920000+2250000+4750000+2475000+1270000+2450000+7525000+4900000+2920000+7754000+2710000+24290000+7710000+12250000+6850000+5375000+5420000+15790750</f>
        <v>218886750</v>
      </c>
      <c r="G67" s="111">
        <f t="shared" ref="G67" si="50">H67</f>
        <v>92.591296145109368</v>
      </c>
      <c r="H67" s="111">
        <f t="shared" ref="H67" si="51">F67/C67*100</f>
        <v>92.591296145109368</v>
      </c>
      <c r="I67" s="108">
        <f>H67-E67</f>
        <v>91.665383183658278</v>
      </c>
      <c r="J67" s="89">
        <f t="shared" si="46"/>
        <v>17514250</v>
      </c>
      <c r="K67" s="12">
        <f t="shared" si="47"/>
        <v>7.4087038548906303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0.70149119684929362</v>
      </c>
      <c r="E68" s="79">
        <f>F68/C68*100%</f>
        <v>0.70149119684929362</v>
      </c>
      <c r="F68" s="80">
        <f>F69</f>
        <v>210890000</v>
      </c>
      <c r="G68" s="80">
        <f t="shared" ref="G68:H68" si="52">G69</f>
        <v>70.14911968492936</v>
      </c>
      <c r="H68" s="80">
        <f t="shared" si="52"/>
        <v>70.14911968492936</v>
      </c>
      <c r="I68" s="80">
        <f>H68-E68</f>
        <v>69.44762848808007</v>
      </c>
      <c r="J68" s="59">
        <f t="shared" si="3"/>
        <v>89741000</v>
      </c>
      <c r="K68" s="58">
        <f t="shared" si="9"/>
        <v>29.850880315070633</v>
      </c>
      <c r="L68" s="82"/>
    </row>
    <row r="69" spans="1:12" ht="37.15" customHeight="1">
      <c r="A69" s="70" t="s">
        <v>139</v>
      </c>
      <c r="B69" s="205" t="s">
        <v>71</v>
      </c>
      <c r="C69" s="84">
        <f>SUM(C70:C72)</f>
        <v>300631000</v>
      </c>
      <c r="D69" s="114">
        <f>E69</f>
        <v>0.70149119684929362</v>
      </c>
      <c r="E69" s="114">
        <f>F69/C69*100%</f>
        <v>0.70149119684929362</v>
      </c>
      <c r="F69" s="114">
        <f>SUM(F70:F72)</f>
        <v>210890000</v>
      </c>
      <c r="G69" s="114">
        <f>H69</f>
        <v>70.14911968492936</v>
      </c>
      <c r="H69" s="114">
        <f>F69/C69*100</f>
        <v>70.14911968492936</v>
      </c>
      <c r="I69" s="114">
        <f>H69-E69</f>
        <v>69.44762848808007</v>
      </c>
      <c r="J69" s="52">
        <f t="shared" si="3"/>
        <v>89741000</v>
      </c>
      <c r="K69" s="51">
        <f t="shared" si="9"/>
        <v>29.850880315070633</v>
      </c>
      <c r="L69" s="83"/>
    </row>
    <row r="70" spans="1:12" ht="76.150000000000006" customHeight="1">
      <c r="A70" s="43"/>
      <c r="B70" s="64" t="s">
        <v>52</v>
      </c>
      <c r="C70" s="218">
        <v>99126000</v>
      </c>
      <c r="D70" s="14">
        <f t="shared" ref="D70:D72" si="53">E70</f>
        <v>0.52508928030990865</v>
      </c>
      <c r="E70" s="108">
        <f>F70/C70*100%</f>
        <v>0.52508928030990865</v>
      </c>
      <c r="F70" s="115">
        <v>52050000</v>
      </c>
      <c r="G70" s="116">
        <f>H70</f>
        <v>52.508928030990866</v>
      </c>
      <c r="H70" s="116">
        <f>F70/C70*100</f>
        <v>52.508928030990866</v>
      </c>
      <c r="I70" s="108">
        <f>H70-E70</f>
        <v>51.98383875068096</v>
      </c>
      <c r="J70" s="219">
        <f t="shared" si="3"/>
        <v>47076000</v>
      </c>
      <c r="K70" s="11">
        <f t="shared" si="9"/>
        <v>47.491071969009141</v>
      </c>
      <c r="L70" s="19"/>
    </row>
    <row r="71" spans="1:12" ht="48" customHeight="1">
      <c r="A71" s="41"/>
      <c r="B71" s="64" t="s">
        <v>53</v>
      </c>
      <c r="C71" s="218">
        <v>163575000</v>
      </c>
      <c r="D71" s="14">
        <f>E71</f>
        <v>0.78765092465230013</v>
      </c>
      <c r="E71" s="108">
        <f t="shared" ref="E71:E72" si="54">F71/C71*100%</f>
        <v>0.78765092465230013</v>
      </c>
      <c r="F71" s="115">
        <f>24460800+3699200+75440000+15000000+10240000</f>
        <v>128840000</v>
      </c>
      <c r="G71" s="116">
        <f t="shared" ref="G71:G72" si="55">H71</f>
        <v>78.765092465230012</v>
      </c>
      <c r="H71" s="116">
        <f t="shared" ref="H71:H72" si="56">F71/C71*100</f>
        <v>78.765092465230012</v>
      </c>
      <c r="I71" s="108">
        <f t="shared" ref="I71:I72" si="57">H71-E71</f>
        <v>77.977441540577715</v>
      </c>
      <c r="J71" s="219">
        <f t="shared" si="3"/>
        <v>34735000</v>
      </c>
      <c r="K71" s="11">
        <f t="shared" si="9"/>
        <v>21.234907534769984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53"/>
        <v>0.79093066174532034</v>
      </c>
      <c r="E72" s="108">
        <f t="shared" si="54"/>
        <v>0.79093066174532034</v>
      </c>
      <c r="F72" s="115">
        <f>10000000+10000000+10000000</f>
        <v>30000000</v>
      </c>
      <c r="G72" s="116">
        <f t="shared" si="55"/>
        <v>79.093066174532041</v>
      </c>
      <c r="H72" s="116">
        <f t="shared" si="56"/>
        <v>79.093066174532041</v>
      </c>
      <c r="I72" s="108">
        <f t="shared" si="57"/>
        <v>78.30213551278672</v>
      </c>
      <c r="J72" s="125">
        <f t="shared" si="3"/>
        <v>7930000</v>
      </c>
      <c r="K72" s="7">
        <f t="shared" si="9"/>
        <v>20.906933825467966</v>
      </c>
      <c r="L72" s="19"/>
    </row>
    <row r="73" spans="1:12">
      <c r="G73" s="117"/>
      <c r="H73" s="117"/>
    </row>
    <row r="74" spans="1:12">
      <c r="G74" s="117"/>
      <c r="H74" s="117"/>
      <c r="I74" s="232" t="s">
        <v>150</v>
      </c>
      <c r="J74" s="232"/>
      <c r="K74" s="232"/>
    </row>
    <row r="75" spans="1:12">
      <c r="G75" s="117"/>
      <c r="H75" s="117"/>
    </row>
    <row r="76" spans="1:12">
      <c r="G76" s="117"/>
      <c r="H76" s="117"/>
      <c r="I76" s="232" t="s">
        <v>145</v>
      </c>
      <c r="J76" s="232"/>
      <c r="K76" s="232"/>
    </row>
    <row r="77" spans="1:12">
      <c r="G77" s="117"/>
      <c r="H77" s="117"/>
      <c r="I77" s="232" t="s">
        <v>146</v>
      </c>
      <c r="J77" s="232"/>
      <c r="K77" s="232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  <c r="I81" s="231" t="s">
        <v>147</v>
      </c>
      <c r="J81" s="231"/>
      <c r="K81" s="231"/>
    </row>
    <row r="82" spans="1:14">
      <c r="G82" s="117"/>
      <c r="H82" s="117"/>
      <c r="I82" s="232" t="s">
        <v>148</v>
      </c>
      <c r="J82" s="232"/>
      <c r="K82" s="232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8">
    <mergeCell ref="I81:K81"/>
    <mergeCell ref="I82:K82"/>
    <mergeCell ref="D8:E8"/>
    <mergeCell ref="F8:H8"/>
    <mergeCell ref="A12:B12"/>
    <mergeCell ref="I74:K74"/>
    <mergeCell ref="I76:K76"/>
    <mergeCell ref="I77:K77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300" r:id="rId1"/>
  <rowBreaks count="1" manualBreakCount="1">
    <brk id="39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5"/>
  <sheetViews>
    <sheetView view="pageBreakPreview" topLeftCell="A60" zoomScale="80" zoomScaleSheetLayoutView="80" workbookViewId="0">
      <selection activeCell="C66" sqref="C66:C68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10</v>
      </c>
      <c r="N5" s="44"/>
    </row>
    <row r="6" spans="1:14">
      <c r="A6" s="4"/>
      <c r="C6" s="22"/>
      <c r="J6" s="3" t="s">
        <v>3</v>
      </c>
      <c r="K6" s="3" t="s">
        <v>96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186" t="s">
        <v>8</v>
      </c>
      <c r="C10" s="129">
        <f>C11</f>
        <v>20189005295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186" t="s">
        <v>9</v>
      </c>
      <c r="C11" s="129">
        <f>C12</f>
        <v>20189005295</v>
      </c>
      <c r="D11" s="94">
        <f t="shared" ref="D11:I11" si="0">D12</f>
        <v>9.362380525345243E-2</v>
      </c>
      <c r="E11" s="94">
        <f t="shared" si="0"/>
        <v>9.362380525345243E-2</v>
      </c>
      <c r="F11" s="94">
        <f t="shared" si="0"/>
        <v>1890171500</v>
      </c>
      <c r="G11" s="94">
        <f t="shared" si="0"/>
        <v>9.3623805253452428</v>
      </c>
      <c r="H11" s="94">
        <f t="shared" si="0"/>
        <v>9.3623805253452428</v>
      </c>
      <c r="I11" s="94">
        <f t="shared" si="0"/>
        <v>9.2687567200917904</v>
      </c>
      <c r="J11" s="6">
        <f>C11-F11</f>
        <v>18298833795</v>
      </c>
      <c r="K11" s="6">
        <f>J11/C11*100</f>
        <v>90.637619474654755</v>
      </c>
      <c r="L11" s="9"/>
      <c r="N11" s="1"/>
    </row>
    <row r="12" spans="1:14" ht="25.15" customHeight="1">
      <c r="A12" s="236" t="s">
        <v>66</v>
      </c>
      <c r="B12" s="237"/>
      <c r="C12" s="127">
        <f>C13+C49+C55+C64</f>
        <v>20189005295</v>
      </c>
      <c r="D12" s="126">
        <f>E12</f>
        <v>9.362380525345243E-2</v>
      </c>
      <c r="E12" s="126">
        <f>F12/C12*100%</f>
        <v>9.362380525345243E-2</v>
      </c>
      <c r="F12" s="126">
        <f>F13+F64+F49+F55</f>
        <v>1890171500</v>
      </c>
      <c r="G12" s="126">
        <f>H12</f>
        <v>9.3623805253452428</v>
      </c>
      <c r="H12" s="126">
        <f>F12/C12*100</f>
        <v>9.3623805253452428</v>
      </c>
      <c r="I12" s="126">
        <f>H12-E12</f>
        <v>9.2687567200917904</v>
      </c>
      <c r="J12" s="126">
        <f>J13+J64+J49+J55</f>
        <v>18298833795</v>
      </c>
      <c r="K12" s="146">
        <f>J12/C12*100</f>
        <v>90.637619474654755</v>
      </c>
      <c r="L12" s="128"/>
      <c r="N12" s="1"/>
    </row>
    <row r="13" spans="1:14" ht="19.149999999999999" customHeight="1">
      <c r="A13" s="54" t="s">
        <v>79</v>
      </c>
      <c r="B13" s="55" t="s">
        <v>11</v>
      </c>
      <c r="C13" s="56">
        <f>C14+C21+C25+C27+C36+C39+C43</f>
        <v>13824959781</v>
      </c>
      <c r="D13" s="57">
        <f>E13</f>
        <v>0.13585366827476922</v>
      </c>
      <c r="E13" s="57">
        <f>F13/C13*100%</f>
        <v>0.13585366827476922</v>
      </c>
      <c r="F13" s="57">
        <f t="shared" ref="F13" si="1">F14+F21+F25+F27+F36+F39+F43</f>
        <v>1878171500</v>
      </c>
      <c r="G13" s="57">
        <f>H13</f>
        <v>13.585366827476921</v>
      </c>
      <c r="H13" s="57">
        <f>F13/C13*100</f>
        <v>13.585366827476921</v>
      </c>
      <c r="I13" s="57">
        <f>H13-E13</f>
        <v>13.449513159202152</v>
      </c>
      <c r="J13" s="59">
        <f>C13-F13</f>
        <v>11946788281</v>
      </c>
      <c r="K13" s="58">
        <f>J13/C13*100</f>
        <v>86.414633172523082</v>
      </c>
      <c r="L13" s="58">
        <f>L14+L21+L25+L27+L36+L39+L43</f>
        <v>0</v>
      </c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H14" si="2">SUM(C15:C20)</f>
        <v>140773000</v>
      </c>
      <c r="D14" s="38">
        <f t="shared" si="2"/>
        <v>0.11732804922563488</v>
      </c>
      <c r="E14" s="38">
        <f t="shared" si="2"/>
        <v>0.11732804922563488</v>
      </c>
      <c r="F14" s="36">
        <f t="shared" si="2"/>
        <v>9000000</v>
      </c>
      <c r="G14" s="90">
        <f t="shared" si="2"/>
        <v>11.732804922563487</v>
      </c>
      <c r="H14" s="90">
        <f t="shared" si="2"/>
        <v>11.732804922563487</v>
      </c>
      <c r="I14" s="99">
        <f>E14-H14</f>
        <v>-11.615476873337851</v>
      </c>
      <c r="J14" s="52">
        <f>C14-F14</f>
        <v>131773000</v>
      </c>
      <c r="K14" s="51">
        <f>J14/C14*100</f>
        <v>93.606728563005689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0.11732804922563488</v>
      </c>
      <c r="E15" s="11">
        <f>F15/C15*100%</f>
        <v>0.11732804922563488</v>
      </c>
      <c r="F15" s="100">
        <f>4500000+4500000</f>
        <v>9000000</v>
      </c>
      <c r="G15" s="101">
        <f>H15</f>
        <v>11.732804922563487</v>
      </c>
      <c r="H15" s="101">
        <f>F15/C15*100</f>
        <v>11.732804922563487</v>
      </c>
      <c r="I15" s="102">
        <f>H15-E15</f>
        <v>11.615476873337851</v>
      </c>
      <c r="J15" s="89">
        <f t="shared" ref="J15:J68" si="3">C15-F15</f>
        <v>67708000</v>
      </c>
      <c r="K15" s="12">
        <f>J15/C15*100</f>
        <v>88.267195077436511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68" si="9">J16/C16*100</f>
        <v>100</v>
      </c>
      <c r="L16" s="13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13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0</v>
      </c>
      <c r="E18" s="11">
        <f t="shared" si="5"/>
        <v>0</v>
      </c>
      <c r="F18" s="100">
        <v>0</v>
      </c>
      <c r="G18" s="101">
        <f t="shared" si="6"/>
        <v>0</v>
      </c>
      <c r="H18" s="101">
        <f t="shared" si="7"/>
        <v>0</v>
      </c>
      <c r="I18" s="102">
        <f t="shared" si="8"/>
        <v>0</v>
      </c>
      <c r="J18" s="89">
        <f t="shared" si="3"/>
        <v>7350000</v>
      </c>
      <c r="K18" s="12">
        <f t="shared" si="9"/>
        <v>100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13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13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0.27749206328375953</v>
      </c>
      <c r="E21" s="38">
        <f>SUM(E22:E24)</f>
        <v>0.27749206328375953</v>
      </c>
      <c r="F21" s="36">
        <f>SUM(F22:F24)</f>
        <v>1853771500</v>
      </c>
      <c r="G21" s="90">
        <f t="shared" si="6"/>
        <v>27.749206328375955</v>
      </c>
      <c r="H21" s="90">
        <f>SUM(H22:H24)</f>
        <v>27.749206328375955</v>
      </c>
      <c r="I21" s="99">
        <f>E21-H21</f>
        <v>-27.471714265092196</v>
      </c>
      <c r="J21" s="52">
        <f t="shared" si="3"/>
        <v>8727515762</v>
      </c>
      <c r="K21" s="51">
        <f t="shared" si="9"/>
        <v>82.480661812695061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0.17567388146557772</v>
      </c>
      <c r="E22" s="85">
        <f>F22/C22*100%</f>
        <v>0.17567388146557772</v>
      </c>
      <c r="F22" s="103">
        <f>586844600+275805000+987621900</f>
        <v>1850271500</v>
      </c>
      <c r="G22" s="104">
        <f>H22</f>
        <v>17.567388146557771</v>
      </c>
      <c r="H22" s="104">
        <f>F22/C22*100</f>
        <v>17.567388146557771</v>
      </c>
      <c r="I22" s="105">
        <f>E22-H22</f>
        <v>-17.391714265092194</v>
      </c>
      <c r="J22" s="89">
        <f t="shared" si="3"/>
        <v>8682150762</v>
      </c>
      <c r="K22" s="12">
        <f t="shared" si="9"/>
        <v>82.432611853442225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13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0.10181818181818182</v>
      </c>
      <c r="E24" s="85">
        <f t="shared" si="11"/>
        <v>0.10181818181818182</v>
      </c>
      <c r="F24" s="103">
        <f>1750000+1750000</f>
        <v>3500000</v>
      </c>
      <c r="G24" s="104">
        <f t="shared" si="12"/>
        <v>10.181818181818182</v>
      </c>
      <c r="H24" s="104">
        <f t="shared" si="13"/>
        <v>10.181818181818182</v>
      </c>
      <c r="I24" s="105">
        <f t="shared" si="14"/>
        <v>-10.08</v>
      </c>
      <c r="J24" s="89">
        <f t="shared" si="3"/>
        <v>30875000</v>
      </c>
      <c r="K24" s="12">
        <f t="shared" si="9"/>
        <v>89.818181818181813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</v>
      </c>
      <c r="E25" s="38">
        <f>E26</f>
        <v>0</v>
      </c>
      <c r="F25" s="36">
        <f>F26</f>
        <v>3000000</v>
      </c>
      <c r="G25" s="90">
        <f>H25</f>
        <v>13.321492007104796</v>
      </c>
      <c r="H25" s="90">
        <f>SUM(H26)</f>
        <v>13.321492007104796</v>
      </c>
      <c r="I25" s="99">
        <f>E25-H25</f>
        <v>-13.321492007104796</v>
      </c>
      <c r="J25" s="52">
        <f t="shared" si="3"/>
        <v>19520000</v>
      </c>
      <c r="K25" s="51">
        <f t="shared" si="9"/>
        <v>86.678507992895206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1">
        <f>E26</f>
        <v>0</v>
      </c>
      <c r="E26" s="11">
        <v>0</v>
      </c>
      <c r="F26" s="134">
        <f>1500000+1500000</f>
        <v>3000000</v>
      </c>
      <c r="G26" s="101">
        <f>H26</f>
        <v>13.321492007104796</v>
      </c>
      <c r="H26" s="101">
        <f>F26/C26*100</f>
        <v>13.321492007104796</v>
      </c>
      <c r="I26" s="102">
        <f>E26-H26</f>
        <v>-13.321492007104796</v>
      </c>
      <c r="J26" s="89">
        <f t="shared" si="3"/>
        <v>19520000</v>
      </c>
      <c r="K26" s="12">
        <f t="shared" si="9"/>
        <v>86.678507992895206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SUM(D28:D35)</f>
        <v>0</v>
      </c>
      <c r="E27" s="38">
        <f>SUM(E28:E35)</f>
        <v>0</v>
      </c>
      <c r="F27" s="36">
        <f>SUM(F28:F35)</f>
        <v>0</v>
      </c>
      <c r="G27" s="90">
        <f t="shared" ref="G27:G35" si="15">H27</f>
        <v>0</v>
      </c>
      <c r="H27" s="90">
        <f>SUM(H28:H35)</f>
        <v>0</v>
      </c>
      <c r="I27" s="99">
        <f>E27-H27</f>
        <v>0</v>
      </c>
      <c r="J27" s="52">
        <f t="shared" si="3"/>
        <v>835391786</v>
      </c>
      <c r="K27" s="51">
        <f t="shared" si="9"/>
        <v>100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</v>
      </c>
      <c r="E28" s="14">
        <f>F28/C28*100%</f>
        <v>0</v>
      </c>
      <c r="F28" s="106"/>
      <c r="G28" s="101">
        <f t="shared" si="15"/>
        <v>0</v>
      </c>
      <c r="H28" s="101">
        <f t="shared" ref="H28:H35" si="16">F28/C28*100</f>
        <v>0</v>
      </c>
      <c r="I28" s="102">
        <f>E28-H28</f>
        <v>0</v>
      </c>
      <c r="J28" s="89">
        <f t="shared" si="3"/>
        <v>40488069</v>
      </c>
      <c r="K28" s="12">
        <f t="shared" si="9"/>
        <v>100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</v>
      </c>
      <c r="E29" s="14">
        <f t="shared" ref="E29:E35" si="18">F29/C29*100%</f>
        <v>0</v>
      </c>
      <c r="F29" s="106">
        <v>0</v>
      </c>
      <c r="G29" s="101">
        <f t="shared" si="15"/>
        <v>0</v>
      </c>
      <c r="H29" s="101">
        <f t="shared" si="16"/>
        <v>0</v>
      </c>
      <c r="I29" s="102">
        <f t="shared" ref="I29:I35" si="19">E29-H29</f>
        <v>0</v>
      </c>
      <c r="J29" s="89">
        <f t="shared" si="3"/>
        <v>163290789</v>
      </c>
      <c r="K29" s="12">
        <f t="shared" si="9"/>
        <v>100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</v>
      </c>
      <c r="E30" s="14">
        <f t="shared" si="18"/>
        <v>0</v>
      </c>
      <c r="F30" s="106"/>
      <c r="G30" s="101"/>
      <c r="H30" s="101"/>
      <c r="I30" s="102"/>
      <c r="J30" s="89"/>
      <c r="K30" s="12"/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</v>
      </c>
      <c r="E31" s="14">
        <f t="shared" si="18"/>
        <v>0</v>
      </c>
      <c r="F31" s="106">
        <v>0</v>
      </c>
      <c r="G31" s="101">
        <f t="shared" si="15"/>
        <v>0</v>
      </c>
      <c r="H31" s="101">
        <f t="shared" si="16"/>
        <v>0</v>
      </c>
      <c r="I31" s="102">
        <f t="shared" si="19"/>
        <v>0</v>
      </c>
      <c r="J31" s="89">
        <f t="shared" si="3"/>
        <v>111757000</v>
      </c>
      <c r="K31" s="12">
        <f t="shared" si="9"/>
        <v>100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</v>
      </c>
      <c r="E32" s="14">
        <f t="shared" si="18"/>
        <v>0</v>
      </c>
      <c r="F32" s="106"/>
      <c r="G32" s="101">
        <f t="shared" si="15"/>
        <v>0</v>
      </c>
      <c r="H32" s="101">
        <f t="shared" si="16"/>
        <v>0</v>
      </c>
      <c r="I32" s="102">
        <f t="shared" si="19"/>
        <v>0</v>
      </c>
      <c r="J32" s="89">
        <f t="shared" si="3"/>
        <v>91327220</v>
      </c>
      <c r="K32" s="12">
        <f t="shared" si="9"/>
        <v>100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</v>
      </c>
      <c r="E33" s="14">
        <f t="shared" si="18"/>
        <v>0</v>
      </c>
      <c r="F33" s="106"/>
      <c r="G33" s="101">
        <f t="shared" si="15"/>
        <v>0</v>
      </c>
      <c r="H33" s="101">
        <f t="shared" si="16"/>
        <v>0</v>
      </c>
      <c r="I33" s="102">
        <f t="shared" si="19"/>
        <v>0</v>
      </c>
      <c r="J33" s="89">
        <f t="shared" si="3"/>
        <v>57195015</v>
      </c>
      <c r="K33" s="12">
        <f t="shared" si="9"/>
        <v>100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</v>
      </c>
      <c r="E34" s="14">
        <f t="shared" si="18"/>
        <v>0</v>
      </c>
      <c r="F34" s="106">
        <v>0</v>
      </c>
      <c r="G34" s="101">
        <f t="shared" si="15"/>
        <v>0</v>
      </c>
      <c r="H34" s="101">
        <f t="shared" si="16"/>
        <v>0</v>
      </c>
      <c r="I34" s="102">
        <f t="shared" si="19"/>
        <v>0</v>
      </c>
      <c r="J34" s="89">
        <f t="shared" si="3"/>
        <v>107700000</v>
      </c>
      <c r="K34" s="12">
        <f t="shared" si="9"/>
        <v>100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</v>
      </c>
      <c r="E35" s="14">
        <f t="shared" si="18"/>
        <v>0</v>
      </c>
      <c r="F35" s="106"/>
      <c r="G35" s="101">
        <f t="shared" si="15"/>
        <v>0</v>
      </c>
      <c r="H35" s="101">
        <f t="shared" si="16"/>
        <v>0</v>
      </c>
      <c r="I35" s="102">
        <f t="shared" si="19"/>
        <v>0</v>
      </c>
      <c r="J35" s="89">
        <f t="shared" si="3"/>
        <v>180125000</v>
      </c>
      <c r="K35" s="12">
        <f t="shared" si="9"/>
        <v>100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 t="shared" ref="D36:I36" si="20">SUM(D38:D38)</f>
        <v>0</v>
      </c>
      <c r="E36" s="38">
        <f t="shared" si="20"/>
        <v>0</v>
      </c>
      <c r="F36" s="36">
        <f t="shared" si="20"/>
        <v>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52">
        <f t="shared" si="3"/>
        <v>135067517</v>
      </c>
      <c r="K36" s="51">
        <f t="shared" si="9"/>
        <v>100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0</v>
      </c>
      <c r="E37" s="133">
        <f>F37/C37*100%</f>
        <v>0</v>
      </c>
      <c r="F37" s="134">
        <v>0</v>
      </c>
      <c r="G37" s="134">
        <f>H37</f>
        <v>0</v>
      </c>
      <c r="H37" s="134">
        <f>F37/C37*100</f>
        <v>0</v>
      </c>
      <c r="I37" s="134">
        <f>E37-H37</f>
        <v>0</v>
      </c>
      <c r="J37" s="122">
        <f>C37-F37</f>
        <v>81000000</v>
      </c>
      <c r="K37" s="123">
        <f>J37/C37*100</f>
        <v>100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0</v>
      </c>
      <c r="E39" s="38">
        <f>SUM(E40:E42)</f>
        <v>1.2010848508330105E-2</v>
      </c>
      <c r="F39" s="36">
        <f>SUM(F40:F42)</f>
        <v>12400000</v>
      </c>
      <c r="G39" s="90">
        <f t="shared" ref="G39:G42" si="21">H39</f>
        <v>1.2010848508330105</v>
      </c>
      <c r="H39" s="90">
        <f>SUM(H40:H42)</f>
        <v>1.2010848508330105</v>
      </c>
      <c r="I39" s="99">
        <f>E39-H39</f>
        <v>-1.1890740023246804</v>
      </c>
      <c r="J39" s="52">
        <f t="shared" si="3"/>
        <v>1592292216</v>
      </c>
      <c r="K39" s="51">
        <f t="shared" si="9"/>
        <v>99.227266146344917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v>0</v>
      </c>
      <c r="E40" s="14">
        <f>F40/C40*100%</f>
        <v>0</v>
      </c>
      <c r="F40" s="106">
        <v>0</v>
      </c>
      <c r="G40" s="104">
        <f t="shared" si="21"/>
        <v>0</v>
      </c>
      <c r="H40" s="104">
        <f t="shared" ref="H40:H42" si="22">F40/C40*100</f>
        <v>0</v>
      </c>
      <c r="I40" s="105">
        <f t="shared" ref="I40:I42" si="23">E40-H40</f>
        <v>0</v>
      </c>
      <c r="J40" s="89">
        <f t="shared" si="3"/>
        <v>39341496</v>
      </c>
      <c r="K40" s="12">
        <f t="shared" si="9"/>
        <v>100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" si="24">E41</f>
        <v>0</v>
      </c>
      <c r="E41" s="14">
        <f t="shared" ref="E41:E42" si="25">F41/C41*100%</f>
        <v>0</v>
      </c>
      <c r="F41" s="106">
        <v>0</v>
      </c>
      <c r="G41" s="104">
        <f t="shared" si="21"/>
        <v>0</v>
      </c>
      <c r="H41" s="104">
        <f t="shared" si="22"/>
        <v>0</v>
      </c>
      <c r="I41" s="105">
        <f t="shared" si="23"/>
        <v>0</v>
      </c>
      <c r="J41" s="89">
        <f t="shared" si="3"/>
        <v>532950720</v>
      </c>
      <c r="K41" s="12">
        <f t="shared" si="9"/>
        <v>100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v>0</v>
      </c>
      <c r="E42" s="14">
        <f t="shared" si="25"/>
        <v>1.2010848508330105E-2</v>
      </c>
      <c r="F42" s="106">
        <f>6200000+6200000</f>
        <v>12400000</v>
      </c>
      <c r="G42" s="104">
        <f t="shared" si="21"/>
        <v>1.2010848508330105</v>
      </c>
      <c r="H42" s="104">
        <f t="shared" si="22"/>
        <v>1.2010848508330105</v>
      </c>
      <c r="I42" s="105">
        <f t="shared" si="23"/>
        <v>-1.1890740023246804</v>
      </c>
      <c r="J42" s="89">
        <f t="shared" si="3"/>
        <v>1020000000</v>
      </c>
      <c r="K42" s="12">
        <f t="shared" si="9"/>
        <v>98.798915149166987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SUM(D44:D47)</f>
        <v>0</v>
      </c>
      <c r="E43" s="39">
        <f>SUM(E44:E47)</f>
        <v>0</v>
      </c>
      <c r="F43" s="37">
        <f>SUM(F44:F48)</f>
        <v>0</v>
      </c>
      <c r="G43" s="91">
        <f>SUM(G44:G61)</f>
        <v>18.181818181818183</v>
      </c>
      <c r="H43" s="91">
        <f>SUM(H44:H61)</f>
        <v>18.181818181818183</v>
      </c>
      <c r="I43" s="91">
        <f>E43-H43</f>
        <v>-18.181818181818183</v>
      </c>
      <c r="J43" s="52">
        <f t="shared" si="3"/>
        <v>505228000</v>
      </c>
      <c r="K43" s="51">
        <f t="shared" si="9"/>
        <v>100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</v>
      </c>
      <c r="E44" s="14">
        <f>F44/C44*100%</f>
        <v>0</v>
      </c>
      <c r="F44" s="107">
        <v>0</v>
      </c>
      <c r="G44" s="104">
        <f t="shared" ref="G44:G48" si="26">H44</f>
        <v>0</v>
      </c>
      <c r="H44" s="104">
        <f t="shared" ref="H44:H48" si="27">F44/C44*100</f>
        <v>0</v>
      </c>
      <c r="I44" s="118">
        <f t="shared" ref="I44:I47" si="28">E44-H44</f>
        <v>0</v>
      </c>
      <c r="J44" s="89">
        <f t="shared" si="3"/>
        <v>206830000</v>
      </c>
      <c r="K44" s="12">
        <f t="shared" si="9"/>
        <v>100</v>
      </c>
      <c r="L44" s="16"/>
    </row>
    <row r="45" spans="1:14" ht="37.15" customHeight="1">
      <c r="A45" s="15"/>
      <c r="B45" s="136" t="s">
        <v>73</v>
      </c>
      <c r="C45" s="24">
        <v>9240000</v>
      </c>
      <c r="D45" s="14">
        <f t="shared" ref="D45:D48" si="29">E45</f>
        <v>0</v>
      </c>
      <c r="E45" s="14">
        <f t="shared" ref="E45:E48" si="30">F45/C45*100%</f>
        <v>0</v>
      </c>
      <c r="F45" s="107">
        <v>0</v>
      </c>
      <c r="G45" s="104">
        <f t="shared" si="26"/>
        <v>0</v>
      </c>
      <c r="H45" s="104">
        <f t="shared" si="27"/>
        <v>0</v>
      </c>
      <c r="I45" s="118">
        <f t="shared" si="28"/>
        <v>0</v>
      </c>
      <c r="J45" s="89">
        <f t="shared" si="3"/>
        <v>9240000</v>
      </c>
      <c r="K45" s="12">
        <f t="shared" si="9"/>
        <v>100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</v>
      </c>
      <c r="E46" s="14">
        <f t="shared" si="30"/>
        <v>0</v>
      </c>
      <c r="F46" s="107">
        <v>0</v>
      </c>
      <c r="G46" s="104">
        <f t="shared" si="26"/>
        <v>0</v>
      </c>
      <c r="H46" s="104">
        <f t="shared" si="27"/>
        <v>0</v>
      </c>
      <c r="I46" s="105">
        <f t="shared" si="28"/>
        <v>0</v>
      </c>
      <c r="J46" s="89">
        <f t="shared" si="3"/>
        <v>118970000</v>
      </c>
      <c r="K46" s="12">
        <f t="shared" si="9"/>
        <v>100</v>
      </c>
      <c r="L46" s="16"/>
    </row>
    <row r="47" spans="1:14" ht="19.149999999999999" customHeight="1">
      <c r="A47" s="15"/>
      <c r="B47" s="63" t="s">
        <v>42</v>
      </c>
      <c r="C47" s="24">
        <v>80708000</v>
      </c>
      <c r="D47" s="14">
        <f t="shared" si="29"/>
        <v>0</v>
      </c>
      <c r="E47" s="14">
        <f t="shared" si="30"/>
        <v>0</v>
      </c>
      <c r="F47" s="107">
        <v>0</v>
      </c>
      <c r="G47" s="104">
        <f t="shared" si="26"/>
        <v>0</v>
      </c>
      <c r="H47" s="104">
        <f t="shared" si="27"/>
        <v>0</v>
      </c>
      <c r="I47" s="105">
        <f t="shared" si="28"/>
        <v>0</v>
      </c>
      <c r="J47" s="89">
        <f t="shared" si="3"/>
        <v>80708000</v>
      </c>
      <c r="K47" s="12">
        <f t="shared" si="9"/>
        <v>100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</v>
      </c>
      <c r="E48" s="14">
        <f t="shared" si="30"/>
        <v>0</v>
      </c>
      <c r="F48" s="107">
        <v>0</v>
      </c>
      <c r="G48" s="104">
        <f t="shared" si="26"/>
        <v>0</v>
      </c>
      <c r="H48" s="104">
        <f t="shared" si="27"/>
        <v>0</v>
      </c>
      <c r="I48" s="105">
        <f>E48-H48</f>
        <v>0</v>
      </c>
      <c r="J48" s="89">
        <f t="shared" si="3"/>
        <v>89480000</v>
      </c>
      <c r="K48" s="12">
        <f t="shared" si="9"/>
        <v>100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</v>
      </c>
      <c r="E49" s="67">
        <f>E50</f>
        <v>0</v>
      </c>
      <c r="F49" s="67">
        <f>F50+F52</f>
        <v>12000000</v>
      </c>
      <c r="G49" s="67">
        <f t="shared" ref="G49:I49" si="31">G50</f>
        <v>0</v>
      </c>
      <c r="H49" s="67">
        <f t="shared" si="31"/>
        <v>0</v>
      </c>
      <c r="I49" s="67">
        <f t="shared" si="31"/>
        <v>0</v>
      </c>
      <c r="J49" s="59">
        <f t="shared" si="3"/>
        <v>186012940</v>
      </c>
      <c r="K49" s="58">
        <f t="shared" si="9"/>
        <v>93.939789995542711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</v>
      </c>
      <c r="E50" s="109">
        <f>SUM(E51:E51)</f>
        <v>0</v>
      </c>
      <c r="F50" s="110">
        <f>SUM(F51)</f>
        <v>0</v>
      </c>
      <c r="G50" s="110">
        <f t="shared" ref="G50:I50" si="32">SUM(G51)</f>
        <v>0</v>
      </c>
      <c r="H50" s="110">
        <f t="shared" si="32"/>
        <v>0</v>
      </c>
      <c r="I50" s="110">
        <f t="shared" si="32"/>
        <v>0</v>
      </c>
      <c r="J50" s="52">
        <f t="shared" si="3"/>
        <v>49535000</v>
      </c>
      <c r="K50" s="51">
        <f t="shared" si="9"/>
        <v>100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</v>
      </c>
      <c r="E51" s="108">
        <f>F51/C51*100%</f>
        <v>0</v>
      </c>
      <c r="F51" s="107">
        <v>0</v>
      </c>
      <c r="G51" s="111">
        <f>H51</f>
        <v>0</v>
      </c>
      <c r="H51" s="111">
        <f>F51/C51*100</f>
        <v>0</v>
      </c>
      <c r="I51" s="108">
        <f>E51-H51</f>
        <v>0</v>
      </c>
      <c r="J51" s="89">
        <f t="shared" si="3"/>
        <v>49535000</v>
      </c>
      <c r="K51" s="12">
        <f t="shared" si="9"/>
        <v>100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SUM(D53)</f>
        <v>0</v>
      </c>
      <c r="E52" s="39">
        <f>E53</f>
        <v>0</v>
      </c>
      <c r="F52" s="37">
        <f>SUM(F53:F54)</f>
        <v>12000000</v>
      </c>
      <c r="G52" s="37">
        <f t="shared" ref="G52:I52" si="34">SUM(G53:G54)</f>
        <v>9.0909090909090917</v>
      </c>
      <c r="H52" s="37">
        <f t="shared" si="34"/>
        <v>9.0909090909090917</v>
      </c>
      <c r="I52" s="37">
        <f t="shared" si="34"/>
        <v>-9</v>
      </c>
      <c r="J52" s="52">
        <f t="shared" si="3"/>
        <v>136477940</v>
      </c>
      <c r="K52" s="51">
        <f t="shared" si="9"/>
        <v>91.917991319114478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16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9.0909090909090912E-2</v>
      </c>
      <c r="E54" s="108">
        <f>F54/C54*100%</f>
        <v>9.0909090909090912E-2</v>
      </c>
      <c r="F54" s="107">
        <f>6000000+6000000</f>
        <v>12000000</v>
      </c>
      <c r="G54" s="111">
        <f>H54</f>
        <v>9.0909090909090917</v>
      </c>
      <c r="H54" s="111">
        <f>F54/C54*100</f>
        <v>9.0909090909090917</v>
      </c>
      <c r="I54" s="108">
        <f>E54-H54</f>
        <v>-9</v>
      </c>
      <c r="J54" s="89">
        <f t="shared" si="3"/>
        <v>120000000</v>
      </c>
      <c r="K54" s="12">
        <f t="shared" si="9"/>
        <v>90.909090909090907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</v>
      </c>
      <c r="E55" s="79">
        <f>E56</f>
        <v>0</v>
      </c>
      <c r="F55" s="113">
        <f>F56+F60</f>
        <v>0</v>
      </c>
      <c r="G55" s="113">
        <f t="shared" ref="G55:I55" si="36">G56+G60</f>
        <v>0</v>
      </c>
      <c r="H55" s="113">
        <f t="shared" si="36"/>
        <v>0</v>
      </c>
      <c r="I55" s="113">
        <f t="shared" si="36"/>
        <v>0</v>
      </c>
      <c r="J55" s="59">
        <f t="shared" si="3"/>
        <v>5865401574</v>
      </c>
      <c r="K55" s="58">
        <f t="shared" si="9"/>
        <v>100</v>
      </c>
      <c r="L55" s="77"/>
    </row>
    <row r="56" spans="1:14" ht="29.45" customHeight="1">
      <c r="A56" s="69" t="s">
        <v>91</v>
      </c>
      <c r="B56" s="138" t="s">
        <v>75</v>
      </c>
      <c r="C56" s="139">
        <f>C57+C58+C59</f>
        <v>5786321644</v>
      </c>
      <c r="D56" s="114">
        <f>D57+D58+D59</f>
        <v>0</v>
      </c>
      <c r="E56" s="114">
        <f>E57+E58+E59</f>
        <v>0</v>
      </c>
      <c r="F56" s="140">
        <f>F57+F58+F59</f>
        <v>0</v>
      </c>
      <c r="G56" s="140">
        <f t="shared" ref="G56:I56" si="37">G57+G58+G59</f>
        <v>0</v>
      </c>
      <c r="H56" s="140">
        <f t="shared" si="37"/>
        <v>0</v>
      </c>
      <c r="I56" s="140">
        <f t="shared" si="37"/>
        <v>0</v>
      </c>
      <c r="J56" s="52">
        <f>C56-F56</f>
        <v>5786321644</v>
      </c>
      <c r="K56" s="51">
        <f t="shared" si="9"/>
        <v>100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</v>
      </c>
      <c r="E57" s="108">
        <f>F57/C57*100%</f>
        <v>0</v>
      </c>
      <c r="F57" s="107">
        <v>0</v>
      </c>
      <c r="G57" s="111">
        <f>H57</f>
        <v>0</v>
      </c>
      <c r="H57" s="111">
        <f>F57*C57/100</f>
        <v>0</v>
      </c>
      <c r="I57" s="108">
        <f>E57-H57</f>
        <v>0</v>
      </c>
      <c r="J57" s="122">
        <f>C57-F57</f>
        <v>167418966</v>
      </c>
      <c r="K57" s="123">
        <f t="shared" si="9"/>
        <v>100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8">E58</f>
        <v>0</v>
      </c>
      <c r="E58" s="108">
        <f t="shared" ref="E58:E59" si="39">F58/C58*100%</f>
        <v>0</v>
      </c>
      <c r="F58" s="107">
        <v>0</v>
      </c>
      <c r="G58" s="111">
        <f t="shared" ref="G58:G59" si="40">H58</f>
        <v>0</v>
      </c>
      <c r="H58" s="111">
        <f t="shared" ref="H58:H59" si="41">F58*C58/100</f>
        <v>0</v>
      </c>
      <c r="I58" s="108">
        <f t="shared" ref="I58:I59" si="42">E58-H58</f>
        <v>0</v>
      </c>
      <c r="J58" s="122">
        <f t="shared" ref="J58:J59" si="43">C58-F58</f>
        <v>1125522789</v>
      </c>
      <c r="K58" s="123">
        <f t="shared" si="9"/>
        <v>100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8"/>
        <v>0</v>
      </c>
      <c r="E59" s="108">
        <f t="shared" si="39"/>
        <v>0</v>
      </c>
      <c r="F59" s="107">
        <v>0</v>
      </c>
      <c r="G59" s="111">
        <f t="shared" si="40"/>
        <v>0</v>
      </c>
      <c r="H59" s="111">
        <f t="shared" si="41"/>
        <v>0</v>
      </c>
      <c r="I59" s="108">
        <f t="shared" si="42"/>
        <v>0</v>
      </c>
      <c r="J59" s="122">
        <f t="shared" si="43"/>
        <v>4493379889</v>
      </c>
      <c r="K59" s="123">
        <f t="shared" si="9"/>
        <v>100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4">F60</f>
        <v>0</v>
      </c>
      <c r="H60" s="109">
        <f t="shared" si="44"/>
        <v>0</v>
      </c>
      <c r="I60" s="109">
        <f t="shared" si="44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5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16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5"/>
        <v>0</v>
      </c>
      <c r="E62" s="108">
        <f t="shared" ref="E62:E63" si="46">F62/C62*100%</f>
        <v>0</v>
      </c>
      <c r="F62" s="107">
        <v>0</v>
      </c>
      <c r="G62" s="111">
        <f t="shared" ref="G62:G63" si="47">H62</f>
        <v>0</v>
      </c>
      <c r="H62" s="111">
        <f t="shared" ref="H62:H63" si="48">F62/C62*100</f>
        <v>0</v>
      </c>
      <c r="I62" s="108">
        <f t="shared" ref="I62:I63" si="49">E62-H62</f>
        <v>0</v>
      </c>
      <c r="J62" s="89">
        <f t="shared" si="3"/>
        <v>15600000</v>
      </c>
      <c r="K62" s="12">
        <f t="shared" si="9"/>
        <v>100</v>
      </c>
      <c r="L62" s="18"/>
    </row>
    <row r="63" spans="1:14" ht="19.149999999999999" customHeight="1">
      <c r="A63" s="18"/>
      <c r="B63" s="34" t="s">
        <v>70</v>
      </c>
      <c r="C63" s="20">
        <v>24109818</v>
      </c>
      <c r="D63" s="14">
        <f t="shared" si="45"/>
        <v>0</v>
      </c>
      <c r="E63" s="108">
        <f t="shared" si="46"/>
        <v>0</v>
      </c>
      <c r="F63" s="107">
        <v>0</v>
      </c>
      <c r="G63" s="111">
        <f t="shared" si="47"/>
        <v>0</v>
      </c>
      <c r="H63" s="111">
        <f t="shared" si="48"/>
        <v>0</v>
      </c>
      <c r="I63" s="108">
        <f t="shared" si="49"/>
        <v>0</v>
      </c>
      <c r="J63" s="89">
        <f t="shared" si="3"/>
        <v>24109818</v>
      </c>
      <c r="K63" s="12">
        <f t="shared" si="9"/>
        <v>100</v>
      </c>
      <c r="L63" s="18"/>
    </row>
    <row r="64" spans="1:14" s="27" customFormat="1" ht="19.149999999999999" customHeight="1">
      <c r="A64" s="65" t="s">
        <v>82</v>
      </c>
      <c r="B64" s="76" t="s">
        <v>51</v>
      </c>
      <c r="C64" s="78">
        <f>C65</f>
        <v>300631000</v>
      </c>
      <c r="D64" s="79">
        <f>D65</f>
        <v>0</v>
      </c>
      <c r="E64" s="79"/>
      <c r="F64" s="80">
        <f>F65</f>
        <v>0</v>
      </c>
      <c r="G64" s="80">
        <f t="shared" ref="G64:I64" si="50">G65</f>
        <v>0</v>
      </c>
      <c r="H64" s="80">
        <f t="shared" si="50"/>
        <v>0</v>
      </c>
      <c r="I64" s="80">
        <f t="shared" si="50"/>
        <v>0</v>
      </c>
      <c r="J64" s="59">
        <f t="shared" si="3"/>
        <v>300631000</v>
      </c>
      <c r="K64" s="58">
        <f t="shared" si="9"/>
        <v>100</v>
      </c>
      <c r="L64" s="82"/>
    </row>
    <row r="65" spans="1:12" ht="37.15" customHeight="1">
      <c r="A65" s="70" t="s">
        <v>93</v>
      </c>
      <c r="B65" s="119" t="s">
        <v>71</v>
      </c>
      <c r="C65" s="84">
        <f>SUM(C66:C68)</f>
        <v>300631000</v>
      </c>
      <c r="D65" s="114">
        <f>SUM(D66:D68)</f>
        <v>0</v>
      </c>
      <c r="E65" s="114">
        <f>SUM(E66:E68)</f>
        <v>0</v>
      </c>
      <c r="F65" s="114">
        <f>SUM(F66:F68)</f>
        <v>0</v>
      </c>
      <c r="G65" s="114">
        <f t="shared" ref="G65:I65" si="51">SUM(G66:G68)</f>
        <v>0</v>
      </c>
      <c r="H65" s="114">
        <f t="shared" si="51"/>
        <v>0</v>
      </c>
      <c r="I65" s="114">
        <f t="shared" si="51"/>
        <v>0</v>
      </c>
      <c r="J65" s="52">
        <f t="shared" si="3"/>
        <v>300631000</v>
      </c>
      <c r="K65" s="51">
        <f t="shared" si="9"/>
        <v>100</v>
      </c>
      <c r="L65" s="83"/>
    </row>
    <row r="66" spans="1:12" ht="76.150000000000006" customHeight="1">
      <c r="A66" s="43"/>
      <c r="B66" s="64" t="s">
        <v>52</v>
      </c>
      <c r="C66" s="26">
        <v>99126000</v>
      </c>
      <c r="D66" s="14">
        <f t="shared" ref="D66:D68" si="52">E66</f>
        <v>0</v>
      </c>
      <c r="E66" s="108">
        <f>F66/C66*100%</f>
        <v>0</v>
      </c>
      <c r="F66" s="115">
        <v>0</v>
      </c>
      <c r="G66" s="116">
        <f>H66</f>
        <v>0</v>
      </c>
      <c r="H66" s="116">
        <f>F66/C66*100</f>
        <v>0</v>
      </c>
      <c r="I66" s="108">
        <f>E66-H66</f>
        <v>0</v>
      </c>
      <c r="J66" s="89">
        <f t="shared" si="3"/>
        <v>99126000</v>
      </c>
      <c r="K66" s="12">
        <f t="shared" si="9"/>
        <v>100</v>
      </c>
      <c r="L66" s="19"/>
    </row>
    <row r="67" spans="1:12" ht="48" customHeight="1">
      <c r="A67" s="41"/>
      <c r="B67" s="64" t="s">
        <v>53</v>
      </c>
      <c r="C67" s="26">
        <v>163575000</v>
      </c>
      <c r="D67" s="14">
        <f t="shared" si="52"/>
        <v>0</v>
      </c>
      <c r="E67" s="108">
        <f t="shared" ref="E67:E68" si="53">F67/C67*100%</f>
        <v>0</v>
      </c>
      <c r="F67" s="115">
        <v>0</v>
      </c>
      <c r="G67" s="116">
        <f t="shared" ref="G67:G68" si="54">H67</f>
        <v>0</v>
      </c>
      <c r="H67" s="116">
        <f t="shared" ref="H67:H68" si="55">F67/C67*100</f>
        <v>0</v>
      </c>
      <c r="I67" s="108">
        <f t="shared" ref="I67:I68" si="56">E67-H67</f>
        <v>0</v>
      </c>
      <c r="J67" s="89">
        <f t="shared" si="3"/>
        <v>163575000</v>
      </c>
      <c r="K67" s="12">
        <f t="shared" si="9"/>
        <v>100</v>
      </c>
      <c r="L67" s="19"/>
    </row>
    <row r="68" spans="1:12" ht="19.149999999999999" customHeight="1">
      <c r="A68" s="15"/>
      <c r="B68" s="63" t="s">
        <v>54</v>
      </c>
      <c r="C68" s="26">
        <v>37930000</v>
      </c>
      <c r="D68" s="124">
        <f t="shared" si="52"/>
        <v>0</v>
      </c>
      <c r="E68" s="108">
        <f t="shared" si="53"/>
        <v>0</v>
      </c>
      <c r="F68" s="115">
        <v>0</v>
      </c>
      <c r="G68" s="116">
        <f t="shared" si="54"/>
        <v>0</v>
      </c>
      <c r="H68" s="116">
        <f t="shared" si="55"/>
        <v>0</v>
      </c>
      <c r="I68" s="108">
        <f t="shared" si="56"/>
        <v>0</v>
      </c>
      <c r="J68" s="125">
        <f t="shared" si="3"/>
        <v>37930000</v>
      </c>
      <c r="K68" s="7">
        <f t="shared" si="9"/>
        <v>100</v>
      </c>
      <c r="L68" s="19"/>
    </row>
    <row r="69" spans="1:12">
      <c r="G69" s="117"/>
      <c r="H69" s="117"/>
    </row>
    <row r="70" spans="1:12">
      <c r="G70" s="117"/>
      <c r="H70" s="117"/>
    </row>
    <row r="71" spans="1:12">
      <c r="G71" s="117"/>
      <c r="H71" s="117"/>
    </row>
    <row r="72" spans="1:12">
      <c r="G72" s="117"/>
      <c r="H72" s="117"/>
    </row>
    <row r="73" spans="1:12">
      <c r="G73" s="117"/>
      <c r="H73" s="117"/>
    </row>
    <row r="74" spans="1:12">
      <c r="G74" s="117"/>
      <c r="H74" s="117"/>
    </row>
    <row r="75" spans="1:12">
      <c r="G75" s="117"/>
      <c r="H75" s="117"/>
    </row>
    <row r="76" spans="1:12">
      <c r="G76" s="117"/>
      <c r="H76" s="117"/>
    </row>
    <row r="77" spans="1:12">
      <c r="G77" s="117"/>
      <c r="H77" s="117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7:8">
      <c r="G81" s="117"/>
      <c r="H81" s="117"/>
    </row>
    <row r="82" spans="7:8">
      <c r="G82" s="117"/>
      <c r="H82" s="117"/>
    </row>
    <row r="83" spans="7:8">
      <c r="G83" s="117"/>
      <c r="H83" s="117"/>
    </row>
    <row r="84" spans="7:8">
      <c r="G84" s="117"/>
      <c r="H84" s="117"/>
    </row>
    <row r="85" spans="7:8">
      <c r="G85" s="117"/>
      <c r="H85" s="117"/>
    </row>
    <row r="86" spans="7:8">
      <c r="G86" s="117"/>
      <c r="H86" s="117"/>
    </row>
    <row r="87" spans="7:8">
      <c r="G87" s="117"/>
      <c r="H87" s="117"/>
    </row>
    <row r="88" spans="7:8">
      <c r="G88" s="117"/>
      <c r="H88" s="117"/>
    </row>
    <row r="89" spans="7:8">
      <c r="G89" s="117"/>
      <c r="H89" s="117"/>
    </row>
    <row r="90" spans="7:8">
      <c r="G90" s="117"/>
      <c r="H90" s="117"/>
    </row>
    <row r="91" spans="7:8">
      <c r="G91" s="117"/>
      <c r="H91" s="117"/>
    </row>
    <row r="92" spans="7:8">
      <c r="G92" s="117"/>
      <c r="H92" s="117"/>
    </row>
    <row r="93" spans="7:8">
      <c r="G93" s="117"/>
      <c r="H93" s="117"/>
    </row>
    <row r="94" spans="7:8">
      <c r="G94" s="117"/>
      <c r="H94" s="117"/>
    </row>
    <row r="95" spans="7:8">
      <c r="G95" s="117"/>
      <c r="H95" s="117"/>
    </row>
    <row r="96" spans="7:8">
      <c r="G96" s="117"/>
      <c r="H96" s="117"/>
    </row>
    <row r="97" spans="7:8">
      <c r="G97" s="117"/>
      <c r="H97" s="117"/>
    </row>
    <row r="98" spans="7:8">
      <c r="G98" s="117"/>
      <c r="H98" s="117"/>
    </row>
    <row r="99" spans="7:8">
      <c r="G99" s="117"/>
      <c r="H99" s="117"/>
    </row>
    <row r="100" spans="7:8">
      <c r="G100" s="117"/>
      <c r="H100" s="117"/>
    </row>
    <row r="101" spans="7:8">
      <c r="G101" s="117"/>
      <c r="H101" s="117"/>
    </row>
    <row r="102" spans="7:8">
      <c r="G102" s="117"/>
      <c r="H102" s="117"/>
    </row>
    <row r="103" spans="7:8">
      <c r="G103" s="117"/>
      <c r="H103" s="117"/>
    </row>
    <row r="104" spans="7:8">
      <c r="G104" s="117"/>
      <c r="H104" s="117"/>
    </row>
    <row r="105" spans="7:8">
      <c r="G105" s="117"/>
      <c r="H105" s="117"/>
    </row>
    <row r="106" spans="7:8">
      <c r="G106" s="117"/>
      <c r="H106" s="117"/>
    </row>
    <row r="107" spans="7:8">
      <c r="G107" s="117"/>
      <c r="H107" s="117"/>
    </row>
    <row r="108" spans="7:8">
      <c r="G108" s="117"/>
      <c r="H108" s="117"/>
    </row>
    <row r="109" spans="7:8">
      <c r="G109" s="117"/>
      <c r="H109" s="117"/>
    </row>
    <row r="110" spans="7:8">
      <c r="G110" s="117"/>
      <c r="H110" s="117"/>
    </row>
    <row r="111" spans="7:8">
      <c r="G111" s="117"/>
      <c r="H111" s="117"/>
    </row>
    <row r="112" spans="7:8">
      <c r="G112" s="117"/>
      <c r="H112" s="117"/>
    </row>
    <row r="113" spans="7:8">
      <c r="G113" s="117"/>
      <c r="H113" s="117"/>
    </row>
    <row r="114" spans="7:8">
      <c r="G114" s="117"/>
      <c r="H114" s="117"/>
    </row>
    <row r="115" spans="7:8">
      <c r="G115" s="117"/>
      <c r="H115" s="117"/>
    </row>
    <row r="116" spans="7:8">
      <c r="G116" s="117"/>
      <c r="H116" s="117"/>
    </row>
    <row r="117" spans="7:8">
      <c r="G117" s="117"/>
      <c r="H117" s="117"/>
    </row>
    <row r="118" spans="7:8">
      <c r="G118" s="117"/>
      <c r="H118" s="117"/>
    </row>
    <row r="119" spans="7:8">
      <c r="G119" s="117"/>
      <c r="H119" s="117"/>
    </row>
    <row r="120" spans="7:8">
      <c r="G120" s="117"/>
      <c r="H120" s="117"/>
    </row>
    <row r="121" spans="7:8">
      <c r="G121" s="117"/>
      <c r="H121" s="117"/>
    </row>
    <row r="122" spans="7:8">
      <c r="G122" s="117"/>
      <c r="H122" s="117"/>
    </row>
    <row r="123" spans="7:8">
      <c r="G123" s="117"/>
      <c r="H123" s="117"/>
    </row>
    <row r="124" spans="7:8">
      <c r="G124" s="117"/>
      <c r="H124" s="117"/>
    </row>
    <row r="125" spans="7:8">
      <c r="G125" s="117"/>
      <c r="H125" s="117"/>
    </row>
    <row r="126" spans="7:8">
      <c r="G126" s="117"/>
      <c r="H126" s="117"/>
    </row>
    <row r="127" spans="7:8">
      <c r="G127" s="117"/>
      <c r="H127" s="117"/>
    </row>
    <row r="128" spans="7:8">
      <c r="G128" s="117"/>
      <c r="H128" s="117"/>
    </row>
    <row r="129" spans="7:8">
      <c r="G129" s="117"/>
      <c r="H129" s="117"/>
    </row>
    <row r="130" spans="7:8">
      <c r="G130" s="117"/>
      <c r="H130" s="117"/>
    </row>
    <row r="131" spans="7:8">
      <c r="G131" s="117"/>
      <c r="H131" s="117"/>
    </row>
    <row r="132" spans="7:8">
      <c r="G132" s="117"/>
      <c r="H132" s="117"/>
    </row>
    <row r="133" spans="7:8">
      <c r="G133" s="117"/>
      <c r="H133" s="117"/>
    </row>
    <row r="134" spans="7:8">
      <c r="G134" s="117"/>
      <c r="H134" s="117"/>
    </row>
    <row r="135" spans="7:8">
      <c r="G135" s="117"/>
      <c r="H135" s="117"/>
    </row>
    <row r="136" spans="7:8">
      <c r="G136" s="117"/>
      <c r="H136" s="117"/>
    </row>
    <row r="137" spans="7:8">
      <c r="G137" s="117"/>
      <c r="H137" s="117"/>
    </row>
    <row r="138" spans="7:8">
      <c r="G138" s="117"/>
      <c r="H138" s="117"/>
    </row>
    <row r="139" spans="7:8">
      <c r="G139" s="117"/>
      <c r="H139" s="117"/>
    </row>
    <row r="140" spans="7:8">
      <c r="G140" s="117"/>
      <c r="H140" s="117"/>
    </row>
    <row r="141" spans="7:8">
      <c r="G141" s="117"/>
      <c r="H141" s="117"/>
    </row>
    <row r="142" spans="7:8">
      <c r="G142" s="117"/>
      <c r="H142" s="117"/>
    </row>
    <row r="143" spans="7:8">
      <c r="G143" s="117"/>
      <c r="H143" s="117"/>
    </row>
    <row r="144" spans="7:8">
      <c r="G144" s="117"/>
      <c r="H144" s="117"/>
    </row>
    <row r="145" spans="7:8">
      <c r="G145" s="117"/>
      <c r="H145" s="117"/>
    </row>
    <row r="146" spans="7:8">
      <c r="G146" s="117"/>
      <c r="H146" s="117"/>
    </row>
    <row r="147" spans="7:8">
      <c r="G147" s="117"/>
      <c r="H147" s="117"/>
    </row>
    <row r="148" spans="7:8">
      <c r="G148" s="117"/>
      <c r="H148" s="117"/>
    </row>
    <row r="149" spans="7:8">
      <c r="G149" s="117"/>
      <c r="H149" s="117"/>
    </row>
    <row r="150" spans="7:8">
      <c r="G150" s="117"/>
      <c r="H150" s="117"/>
    </row>
    <row r="151" spans="7:8">
      <c r="G151" s="117"/>
      <c r="H151" s="117"/>
    </row>
    <row r="152" spans="7:8">
      <c r="G152" s="117"/>
      <c r="H152" s="117"/>
    </row>
    <row r="153" spans="7:8">
      <c r="G153" s="117"/>
      <c r="H153" s="117"/>
    </row>
    <row r="154" spans="7:8">
      <c r="G154" s="117"/>
      <c r="H154" s="117"/>
    </row>
    <row r="155" spans="7:8">
      <c r="G155" s="117"/>
      <c r="H155" s="117"/>
    </row>
    <row r="156" spans="7:8">
      <c r="G156" s="117"/>
      <c r="H156" s="117"/>
    </row>
    <row r="157" spans="7:8">
      <c r="G157" s="117"/>
      <c r="H157" s="117"/>
    </row>
    <row r="158" spans="7:8">
      <c r="G158" s="117"/>
      <c r="H158" s="117"/>
    </row>
    <row r="159" spans="7:8">
      <c r="G159" s="117"/>
      <c r="H159" s="117"/>
    </row>
    <row r="160" spans="7:8">
      <c r="G160" s="117"/>
      <c r="H160" s="117"/>
    </row>
    <row r="161" spans="7:8">
      <c r="G161" s="117"/>
      <c r="H161" s="117"/>
    </row>
    <row r="162" spans="7:8">
      <c r="G162" s="117"/>
      <c r="H162" s="117"/>
    </row>
    <row r="163" spans="7:8">
      <c r="G163" s="117"/>
      <c r="H163" s="117"/>
    </row>
    <row r="164" spans="7:8">
      <c r="G164" s="117"/>
      <c r="H164" s="117"/>
    </row>
    <row r="165" spans="7:8">
      <c r="G165" s="117"/>
      <c r="H165" s="117"/>
    </row>
    <row r="166" spans="7:8">
      <c r="G166" s="117"/>
      <c r="H166" s="117"/>
    </row>
    <row r="167" spans="7:8">
      <c r="G167" s="117"/>
      <c r="H167" s="117"/>
    </row>
    <row r="168" spans="7:8">
      <c r="G168" s="117"/>
      <c r="H168" s="117"/>
    </row>
    <row r="169" spans="7:8">
      <c r="G169" s="117"/>
      <c r="H169" s="117"/>
    </row>
    <row r="170" spans="7:8">
      <c r="G170" s="117"/>
      <c r="H170" s="117"/>
    </row>
    <row r="171" spans="7:8">
      <c r="G171" s="117"/>
      <c r="H171" s="117"/>
    </row>
    <row r="172" spans="7:8">
      <c r="G172" s="117"/>
      <c r="H172" s="117"/>
    </row>
    <row r="173" spans="7:8">
      <c r="G173" s="117"/>
      <c r="H173" s="117"/>
    </row>
    <row r="174" spans="7:8">
      <c r="G174" s="117"/>
      <c r="H174" s="117"/>
    </row>
    <row r="175" spans="7:8">
      <c r="G175" s="117"/>
      <c r="H175" s="117"/>
    </row>
    <row r="176" spans="7:8">
      <c r="G176" s="117"/>
      <c r="H176" s="117"/>
    </row>
    <row r="177" spans="7:8">
      <c r="G177" s="117"/>
      <c r="H177" s="117"/>
    </row>
    <row r="178" spans="7:8">
      <c r="G178" s="117"/>
      <c r="H178" s="117"/>
    </row>
    <row r="179" spans="7:8">
      <c r="G179" s="117"/>
      <c r="H179" s="117"/>
    </row>
    <row r="180" spans="7:8">
      <c r="G180" s="117"/>
      <c r="H180" s="117"/>
    </row>
    <row r="181" spans="7:8">
      <c r="G181" s="117"/>
      <c r="H181" s="117"/>
    </row>
    <row r="182" spans="7:8">
      <c r="G182" s="117"/>
      <c r="H182" s="117"/>
    </row>
    <row r="183" spans="7:8">
      <c r="G183" s="117"/>
      <c r="H183" s="117"/>
    </row>
    <row r="184" spans="7:8">
      <c r="G184" s="117"/>
      <c r="H184" s="117"/>
    </row>
    <row r="185" spans="7:8">
      <c r="G185" s="117"/>
      <c r="H185" s="117"/>
    </row>
    <row r="186" spans="7:8">
      <c r="G186" s="117"/>
      <c r="H186" s="117"/>
    </row>
    <row r="187" spans="7:8">
      <c r="G187" s="117"/>
      <c r="H187" s="117"/>
    </row>
    <row r="188" spans="7:8">
      <c r="G188" s="117"/>
      <c r="H188" s="117"/>
    </row>
    <row r="189" spans="7:8">
      <c r="G189" s="117"/>
      <c r="H189" s="117"/>
    </row>
    <row r="190" spans="7:8">
      <c r="G190" s="117"/>
      <c r="H190" s="117"/>
    </row>
    <row r="191" spans="7:8">
      <c r="G191" s="117"/>
      <c r="H191" s="117"/>
    </row>
    <row r="192" spans="7:8">
      <c r="G192" s="117"/>
      <c r="H192" s="117"/>
    </row>
    <row r="193" spans="7:8">
      <c r="G193" s="117"/>
      <c r="H193" s="117"/>
    </row>
    <row r="194" spans="7:8">
      <c r="G194" s="117"/>
      <c r="H194" s="117"/>
    </row>
    <row r="195" spans="7:8">
      <c r="G195" s="117"/>
      <c r="H195" s="117"/>
    </row>
    <row r="196" spans="7:8">
      <c r="G196" s="117"/>
      <c r="H196" s="117"/>
    </row>
    <row r="197" spans="7:8">
      <c r="G197" s="117"/>
      <c r="H197" s="117"/>
    </row>
    <row r="198" spans="7:8">
      <c r="G198" s="117"/>
      <c r="H198" s="117"/>
    </row>
    <row r="199" spans="7:8">
      <c r="G199" s="117"/>
      <c r="H199" s="117"/>
    </row>
    <row r="200" spans="7:8">
      <c r="G200" s="117"/>
      <c r="H200" s="117"/>
    </row>
    <row r="201" spans="7:8">
      <c r="G201" s="117"/>
      <c r="H201" s="117"/>
    </row>
    <row r="202" spans="7:8">
      <c r="G202" s="117"/>
      <c r="H202" s="117"/>
    </row>
    <row r="203" spans="7:8">
      <c r="G203" s="117"/>
      <c r="H203" s="117"/>
    </row>
    <row r="204" spans="7:8">
      <c r="G204" s="117"/>
      <c r="H204" s="117"/>
    </row>
    <row r="205" spans="7:8">
      <c r="G205" s="117"/>
      <c r="H205" s="117"/>
    </row>
    <row r="206" spans="7:8">
      <c r="G206" s="117"/>
      <c r="H206" s="117"/>
    </row>
    <row r="207" spans="7:8">
      <c r="G207" s="117"/>
      <c r="H207" s="117"/>
    </row>
    <row r="208" spans="7:8">
      <c r="G208" s="117"/>
      <c r="H208" s="117"/>
    </row>
    <row r="209" spans="7:8">
      <c r="G209" s="117"/>
      <c r="H209" s="117"/>
    </row>
    <row r="210" spans="7:8">
      <c r="G210" s="117"/>
      <c r="H210" s="117"/>
    </row>
    <row r="211" spans="7:8">
      <c r="G211" s="117"/>
      <c r="H211" s="117"/>
    </row>
    <row r="212" spans="7:8">
      <c r="G212" s="117"/>
      <c r="H212" s="117"/>
    </row>
    <row r="213" spans="7:8">
      <c r="G213" s="117"/>
      <c r="H213" s="117"/>
    </row>
    <row r="214" spans="7:8">
      <c r="G214" s="117"/>
      <c r="H214" s="117"/>
    </row>
    <row r="215" spans="7:8">
      <c r="G215" s="117"/>
      <c r="H215" s="117"/>
    </row>
    <row r="216" spans="7:8">
      <c r="G216" s="117"/>
      <c r="H216" s="117"/>
    </row>
    <row r="217" spans="7:8">
      <c r="G217" s="117"/>
      <c r="H217" s="117"/>
    </row>
    <row r="218" spans="7:8">
      <c r="G218" s="117"/>
      <c r="H218" s="117"/>
    </row>
    <row r="219" spans="7:8">
      <c r="G219" s="117"/>
      <c r="H219" s="117"/>
    </row>
    <row r="220" spans="7:8">
      <c r="G220" s="117"/>
      <c r="H220" s="117"/>
    </row>
    <row r="221" spans="7:8">
      <c r="G221" s="117"/>
      <c r="H221" s="117"/>
    </row>
    <row r="222" spans="7:8">
      <c r="G222" s="117"/>
      <c r="H222" s="117"/>
    </row>
    <row r="223" spans="7:8">
      <c r="G223" s="117"/>
      <c r="H223" s="117"/>
    </row>
    <row r="224" spans="7:8">
      <c r="G224" s="117"/>
      <c r="H224" s="117"/>
    </row>
    <row r="225" spans="7:8">
      <c r="G225" s="117"/>
      <c r="H225" s="117"/>
    </row>
  </sheetData>
  <mergeCells count="13">
    <mergeCell ref="D8:E8"/>
    <mergeCell ref="F8:H8"/>
    <mergeCell ref="A12:B12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300" r:id="rId1"/>
  <rowBreaks count="1" manualBreakCount="1">
    <brk id="39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5"/>
  <sheetViews>
    <sheetView view="pageBreakPreview" zoomScale="80" zoomScaleSheetLayoutView="80" workbookViewId="0">
      <selection activeCell="C16" sqref="C16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10</v>
      </c>
      <c r="N5" s="44"/>
    </row>
    <row r="6" spans="1:14">
      <c r="A6" s="4"/>
      <c r="C6" s="22"/>
      <c r="J6" s="3" t="s">
        <v>3</v>
      </c>
      <c r="K6" s="3" t="s">
        <v>95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145" t="s">
        <v>8</v>
      </c>
      <c r="C10" s="129">
        <f>C11</f>
        <v>20189005295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145" t="s">
        <v>9</v>
      </c>
      <c r="C11" s="129">
        <f>C12</f>
        <v>20189005295</v>
      </c>
      <c r="D11" s="94">
        <f t="shared" ref="D11:I11" si="0">D12</f>
        <v>4.3716844247823551E-2</v>
      </c>
      <c r="E11" s="94">
        <f t="shared" si="0"/>
        <v>4.3716844247823551E-2</v>
      </c>
      <c r="F11" s="94">
        <f t="shared" si="0"/>
        <v>882599600</v>
      </c>
      <c r="G11" s="94">
        <f t="shared" si="0"/>
        <v>4.3716844247823552</v>
      </c>
      <c r="H11" s="94">
        <f t="shared" si="0"/>
        <v>4.3716844247823552</v>
      </c>
      <c r="I11" s="94">
        <f t="shared" si="0"/>
        <v>4.3279675805345317</v>
      </c>
      <c r="J11" s="6">
        <f>C11-F11</f>
        <v>19306405695</v>
      </c>
      <c r="K11" s="6">
        <f>J11/C11*100</f>
        <v>95.628315575217641</v>
      </c>
      <c r="L11" s="9"/>
      <c r="N11" s="1"/>
    </row>
    <row r="12" spans="1:14" ht="25.15" customHeight="1">
      <c r="A12" s="236" t="s">
        <v>66</v>
      </c>
      <c r="B12" s="237"/>
      <c r="C12" s="127">
        <f>C13+C49+C55+C64</f>
        <v>20189005295</v>
      </c>
      <c r="D12" s="126">
        <f>E12</f>
        <v>4.3716844247823551E-2</v>
      </c>
      <c r="E12" s="126">
        <f>F12/C12*100%</f>
        <v>4.3716844247823551E-2</v>
      </c>
      <c r="F12" s="126">
        <f>F13+F64+F49+F55</f>
        <v>882599600</v>
      </c>
      <c r="G12" s="126">
        <f>H12</f>
        <v>4.3716844247823552</v>
      </c>
      <c r="H12" s="126">
        <f>F12/C12*100</f>
        <v>4.3716844247823552</v>
      </c>
      <c r="I12" s="126">
        <f>H12-E12</f>
        <v>4.3279675805345317</v>
      </c>
      <c r="J12" s="126">
        <f>J13+J64+J49+J55</f>
        <v>19306405695</v>
      </c>
      <c r="K12" s="146">
        <f>J12/C12*100</f>
        <v>95.628315575217641</v>
      </c>
      <c r="L12" s="128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6.3407027136869756E-2</v>
      </c>
      <c r="E13" s="57">
        <f>F13/C13*100%</f>
        <v>6.3407027136869756E-2</v>
      </c>
      <c r="F13" s="57">
        <f t="shared" si="1"/>
        <v>876599600</v>
      </c>
      <c r="G13" s="57">
        <f>H13</f>
        <v>6.3407027136869756</v>
      </c>
      <c r="H13" s="57">
        <f>F13/C13*100</f>
        <v>6.3407027136869756</v>
      </c>
      <c r="I13" s="57">
        <f>H13-E13</f>
        <v>6.2772956865501062</v>
      </c>
      <c r="J13" s="59">
        <f>C13-F13</f>
        <v>12948360181</v>
      </c>
      <c r="K13" s="58">
        <f>J13/C13*100</f>
        <v>93.65929728631302</v>
      </c>
      <c r="L13" s="58">
        <f>L14+L21+L25+L27+L36+L39+L43</f>
        <v>0</v>
      </c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H14" si="2">SUM(C15:C20)</f>
        <v>140773000</v>
      </c>
      <c r="D14" s="38">
        <f t="shared" si="2"/>
        <v>5.8664024612817438E-2</v>
      </c>
      <c r="E14" s="38">
        <f t="shared" si="2"/>
        <v>5.8664024612817438E-2</v>
      </c>
      <c r="F14" s="36">
        <f t="shared" si="2"/>
        <v>4500000</v>
      </c>
      <c r="G14" s="90">
        <f t="shared" si="2"/>
        <v>5.8664024612817434</v>
      </c>
      <c r="H14" s="90">
        <f t="shared" si="2"/>
        <v>5.8664024612817434</v>
      </c>
      <c r="I14" s="99">
        <f>E14-H14</f>
        <v>-5.8077384366689255</v>
      </c>
      <c r="J14" s="52">
        <f>C14-F14</f>
        <v>136273000</v>
      </c>
      <c r="K14" s="51">
        <f>J14/C14*100</f>
        <v>96.803364281502851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5.8664024612817438E-2</v>
      </c>
      <c r="E15" s="11">
        <f>F15/C15*100%</f>
        <v>5.8664024612817438E-2</v>
      </c>
      <c r="F15" s="100">
        <f>4500000</f>
        <v>4500000</v>
      </c>
      <c r="G15" s="101">
        <f>H15</f>
        <v>5.8664024612817434</v>
      </c>
      <c r="H15" s="101">
        <f>F15/C15*100</f>
        <v>5.8664024612817434</v>
      </c>
      <c r="I15" s="102">
        <f>H15-E15</f>
        <v>5.8077384366689255</v>
      </c>
      <c r="J15" s="89">
        <f t="shared" ref="J15:J68" si="3">C15-F15</f>
        <v>72208000</v>
      </c>
      <c r="K15" s="12">
        <f>J15/C15*100</f>
        <v>94.133597538718263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68" si="9">J16/C16*100</f>
        <v>100</v>
      </c>
      <c r="L16" s="13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13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0</v>
      </c>
      <c r="E18" s="11">
        <f t="shared" si="5"/>
        <v>0</v>
      </c>
      <c r="F18" s="100">
        <v>0</v>
      </c>
      <c r="G18" s="101">
        <f t="shared" si="6"/>
        <v>0</v>
      </c>
      <c r="H18" s="101">
        <f t="shared" si="7"/>
        <v>0</v>
      </c>
      <c r="I18" s="102">
        <f t="shared" si="8"/>
        <v>0</v>
      </c>
      <c r="J18" s="89">
        <f t="shared" si="3"/>
        <v>7350000</v>
      </c>
      <c r="K18" s="12">
        <f t="shared" si="9"/>
        <v>100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13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13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0.13281328906418763</v>
      </c>
      <c r="E21" s="38">
        <f>SUM(E22:E24)</f>
        <v>0.13281328906418763</v>
      </c>
      <c r="F21" s="36">
        <f>SUM(F22:F24)</f>
        <v>864399600</v>
      </c>
      <c r="G21" s="90">
        <f t="shared" si="6"/>
        <v>13.281328906418764</v>
      </c>
      <c r="H21" s="90">
        <f>SUM(H22:H24)</f>
        <v>13.281328906418764</v>
      </c>
      <c r="I21" s="99">
        <f>E21-H21</f>
        <v>-13.148515617354576</v>
      </c>
      <c r="J21" s="52">
        <f t="shared" si="3"/>
        <v>9716887662</v>
      </c>
      <c r="K21" s="51">
        <f t="shared" si="9"/>
        <v>91.830865389088615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8.1904198155096725E-2</v>
      </c>
      <c r="E22" s="85">
        <f>F22/C22*100%</f>
        <v>8.1904198155096725E-2</v>
      </c>
      <c r="F22" s="103">
        <f>586844600+275805000</f>
        <v>862649600</v>
      </c>
      <c r="G22" s="104">
        <f>H22</f>
        <v>8.1904198155096726</v>
      </c>
      <c r="H22" s="104">
        <f>F22/C22*100</f>
        <v>8.1904198155096726</v>
      </c>
      <c r="I22" s="105">
        <f>E22-H22</f>
        <v>-8.1085156173545752</v>
      </c>
      <c r="J22" s="89">
        <f t="shared" si="3"/>
        <v>9669772662</v>
      </c>
      <c r="K22" s="12">
        <f t="shared" si="9"/>
        <v>91.809580184490329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13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5.0909090909090911E-2</v>
      </c>
      <c r="E24" s="85">
        <f t="shared" si="11"/>
        <v>5.0909090909090911E-2</v>
      </c>
      <c r="F24" s="103">
        <f>1750000</f>
        <v>1750000</v>
      </c>
      <c r="G24" s="104">
        <f t="shared" si="12"/>
        <v>5.0909090909090908</v>
      </c>
      <c r="H24" s="104">
        <f t="shared" si="13"/>
        <v>5.0909090909090908</v>
      </c>
      <c r="I24" s="105">
        <f t="shared" si="14"/>
        <v>-5.04</v>
      </c>
      <c r="J24" s="89">
        <f t="shared" si="3"/>
        <v>32625000</v>
      </c>
      <c r="K24" s="12">
        <f t="shared" si="9"/>
        <v>94.909090909090907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</v>
      </c>
      <c r="E25" s="38">
        <f>E26</f>
        <v>0</v>
      </c>
      <c r="F25" s="36">
        <f>F26</f>
        <v>1500000</v>
      </c>
      <c r="G25" s="90">
        <f>H25</f>
        <v>6.660746003552398</v>
      </c>
      <c r="H25" s="90">
        <f>SUM(H26)</f>
        <v>6.660746003552398</v>
      </c>
      <c r="I25" s="99">
        <f>E25-H25</f>
        <v>-6.660746003552398</v>
      </c>
      <c r="J25" s="52">
        <f t="shared" si="3"/>
        <v>21020000</v>
      </c>
      <c r="K25" s="51">
        <f t="shared" si="9"/>
        <v>93.339253996447596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1">
        <f>E26</f>
        <v>0</v>
      </c>
      <c r="E26" s="11">
        <v>0</v>
      </c>
      <c r="F26" s="134">
        <f>1500000</f>
        <v>1500000</v>
      </c>
      <c r="G26" s="101">
        <f>H26</f>
        <v>6.660746003552398</v>
      </c>
      <c r="H26" s="101">
        <f>F26/C26*100</f>
        <v>6.660746003552398</v>
      </c>
      <c r="I26" s="102">
        <f>E26-H26</f>
        <v>-6.660746003552398</v>
      </c>
      <c r="J26" s="89">
        <f t="shared" si="3"/>
        <v>21020000</v>
      </c>
      <c r="K26" s="12">
        <f t="shared" si="9"/>
        <v>93.339253996447596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SUM(D28:D35)</f>
        <v>0</v>
      </c>
      <c r="E27" s="38">
        <f>SUM(E28:E35)</f>
        <v>0</v>
      </c>
      <c r="F27" s="36">
        <f>SUM(F28:F35)</f>
        <v>0</v>
      </c>
      <c r="G27" s="90">
        <f t="shared" ref="G27:G35" si="15">H27</f>
        <v>0</v>
      </c>
      <c r="H27" s="90">
        <f>SUM(H28:H35)</f>
        <v>0</v>
      </c>
      <c r="I27" s="99">
        <f>E27-H27</f>
        <v>0</v>
      </c>
      <c r="J27" s="52">
        <f t="shared" si="3"/>
        <v>835391786</v>
      </c>
      <c r="K27" s="51">
        <f t="shared" si="9"/>
        <v>100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</v>
      </c>
      <c r="E28" s="14">
        <f>F28/C28*100%</f>
        <v>0</v>
      </c>
      <c r="F28" s="106"/>
      <c r="G28" s="101">
        <f t="shared" si="15"/>
        <v>0</v>
      </c>
      <c r="H28" s="101">
        <f t="shared" ref="H28:H35" si="16">F28/C28*100</f>
        <v>0</v>
      </c>
      <c r="I28" s="102">
        <f>E28-H28</f>
        <v>0</v>
      </c>
      <c r="J28" s="89">
        <f t="shared" si="3"/>
        <v>40488069</v>
      </c>
      <c r="K28" s="12">
        <f t="shared" si="9"/>
        <v>100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</v>
      </c>
      <c r="E29" s="14">
        <f t="shared" ref="E29:E35" si="18">F29/C29*100%</f>
        <v>0</v>
      </c>
      <c r="F29" s="106">
        <v>0</v>
      </c>
      <c r="G29" s="101">
        <f t="shared" si="15"/>
        <v>0</v>
      </c>
      <c r="H29" s="101">
        <f t="shared" si="16"/>
        <v>0</v>
      </c>
      <c r="I29" s="102">
        <f t="shared" ref="I29:I35" si="19">E29-H29</f>
        <v>0</v>
      </c>
      <c r="J29" s="89">
        <f t="shared" si="3"/>
        <v>163290789</v>
      </c>
      <c r="K29" s="12">
        <f t="shared" si="9"/>
        <v>100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</v>
      </c>
      <c r="E30" s="14">
        <f t="shared" si="18"/>
        <v>0</v>
      </c>
      <c r="F30" s="106"/>
      <c r="G30" s="101"/>
      <c r="H30" s="101"/>
      <c r="I30" s="102"/>
      <c r="J30" s="89"/>
      <c r="K30" s="12"/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</v>
      </c>
      <c r="E31" s="14">
        <f t="shared" si="18"/>
        <v>0</v>
      </c>
      <c r="F31" s="106">
        <v>0</v>
      </c>
      <c r="G31" s="101">
        <f t="shared" si="15"/>
        <v>0</v>
      </c>
      <c r="H31" s="101">
        <f t="shared" si="16"/>
        <v>0</v>
      </c>
      <c r="I31" s="102">
        <f t="shared" si="19"/>
        <v>0</v>
      </c>
      <c r="J31" s="89">
        <f t="shared" si="3"/>
        <v>111757000</v>
      </c>
      <c r="K31" s="12">
        <f t="shared" si="9"/>
        <v>100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</v>
      </c>
      <c r="E32" s="14">
        <f t="shared" si="18"/>
        <v>0</v>
      </c>
      <c r="F32" s="106"/>
      <c r="G32" s="101">
        <f t="shared" si="15"/>
        <v>0</v>
      </c>
      <c r="H32" s="101">
        <f t="shared" si="16"/>
        <v>0</v>
      </c>
      <c r="I32" s="102">
        <f t="shared" si="19"/>
        <v>0</v>
      </c>
      <c r="J32" s="89">
        <f t="shared" si="3"/>
        <v>91327220</v>
      </c>
      <c r="K32" s="12">
        <f t="shared" si="9"/>
        <v>100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</v>
      </c>
      <c r="E33" s="14">
        <f t="shared" si="18"/>
        <v>0</v>
      </c>
      <c r="F33" s="106"/>
      <c r="G33" s="101">
        <f t="shared" si="15"/>
        <v>0</v>
      </c>
      <c r="H33" s="101">
        <f t="shared" si="16"/>
        <v>0</v>
      </c>
      <c r="I33" s="102">
        <f t="shared" si="19"/>
        <v>0</v>
      </c>
      <c r="J33" s="89">
        <f t="shared" si="3"/>
        <v>57195015</v>
      </c>
      <c r="K33" s="12">
        <f t="shared" si="9"/>
        <v>100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</v>
      </c>
      <c r="E34" s="14">
        <f t="shared" si="18"/>
        <v>0</v>
      </c>
      <c r="F34" s="106">
        <v>0</v>
      </c>
      <c r="G34" s="101">
        <f t="shared" si="15"/>
        <v>0</v>
      </c>
      <c r="H34" s="101">
        <f t="shared" si="16"/>
        <v>0</v>
      </c>
      <c r="I34" s="102">
        <f t="shared" si="19"/>
        <v>0</v>
      </c>
      <c r="J34" s="89">
        <f t="shared" si="3"/>
        <v>107700000</v>
      </c>
      <c r="K34" s="12">
        <f t="shared" si="9"/>
        <v>100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</v>
      </c>
      <c r="E35" s="14">
        <f t="shared" si="18"/>
        <v>0</v>
      </c>
      <c r="F35" s="106"/>
      <c r="G35" s="101">
        <f t="shared" si="15"/>
        <v>0</v>
      </c>
      <c r="H35" s="101">
        <f t="shared" si="16"/>
        <v>0</v>
      </c>
      <c r="I35" s="102">
        <f t="shared" si="19"/>
        <v>0</v>
      </c>
      <c r="J35" s="89">
        <f t="shared" si="3"/>
        <v>180125000</v>
      </c>
      <c r="K35" s="12">
        <f t="shared" si="9"/>
        <v>100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 t="shared" ref="D36:I36" si="20">SUM(D38:D38)</f>
        <v>0</v>
      </c>
      <c r="E36" s="38">
        <f t="shared" si="20"/>
        <v>0</v>
      </c>
      <c r="F36" s="36">
        <f t="shared" si="20"/>
        <v>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52">
        <f t="shared" si="3"/>
        <v>135067517</v>
      </c>
      <c r="K36" s="51">
        <f t="shared" si="9"/>
        <v>100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0</v>
      </c>
      <c r="E37" s="133">
        <f>F37/C37*100%</f>
        <v>0</v>
      </c>
      <c r="F37" s="134">
        <v>0</v>
      </c>
      <c r="G37" s="134">
        <f>H37</f>
        <v>0</v>
      </c>
      <c r="H37" s="134">
        <f>F37/C37*100</f>
        <v>0</v>
      </c>
      <c r="I37" s="134">
        <f>E37-H37</f>
        <v>0</v>
      </c>
      <c r="J37" s="122">
        <f>C37-F37</f>
        <v>81000000</v>
      </c>
      <c r="K37" s="123">
        <f>J37/C37*100</f>
        <v>100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0</v>
      </c>
      <c r="E39" s="38">
        <f>SUM(E40:E42)</f>
        <v>6.0054242541650524E-3</v>
      </c>
      <c r="F39" s="36">
        <f>SUM(F40:F42)</f>
        <v>6200000</v>
      </c>
      <c r="G39" s="90">
        <f t="shared" ref="G39:G42" si="21">H39</f>
        <v>0.60054242541650527</v>
      </c>
      <c r="H39" s="90">
        <f>SUM(H40:H42)</f>
        <v>0.60054242541650527</v>
      </c>
      <c r="I39" s="99">
        <f>E39-H39</f>
        <v>-0.59453700116234021</v>
      </c>
      <c r="J39" s="52">
        <f t="shared" si="3"/>
        <v>1598492216</v>
      </c>
      <c r="K39" s="51">
        <f t="shared" si="9"/>
        <v>99.613633073172451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v>0</v>
      </c>
      <c r="E40" s="14">
        <f>F40/C40*100%</f>
        <v>0</v>
      </c>
      <c r="F40" s="106">
        <v>0</v>
      </c>
      <c r="G40" s="104">
        <f t="shared" si="21"/>
        <v>0</v>
      </c>
      <c r="H40" s="104">
        <f t="shared" ref="H40:H42" si="22">F40/C40*100</f>
        <v>0</v>
      </c>
      <c r="I40" s="105">
        <f t="shared" ref="I40:I42" si="23">E40-H40</f>
        <v>0</v>
      </c>
      <c r="J40" s="89">
        <f t="shared" si="3"/>
        <v>39341496</v>
      </c>
      <c r="K40" s="12">
        <f t="shared" si="9"/>
        <v>100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" si="24">E41</f>
        <v>0</v>
      </c>
      <c r="E41" s="14">
        <f t="shared" ref="E41:E42" si="25">F41/C41*100%</f>
        <v>0</v>
      </c>
      <c r="F41" s="106">
        <v>0</v>
      </c>
      <c r="G41" s="104">
        <f t="shared" si="21"/>
        <v>0</v>
      </c>
      <c r="H41" s="104">
        <f t="shared" si="22"/>
        <v>0</v>
      </c>
      <c r="I41" s="105">
        <f t="shared" si="23"/>
        <v>0</v>
      </c>
      <c r="J41" s="89">
        <f t="shared" si="3"/>
        <v>532950720</v>
      </c>
      <c r="K41" s="12">
        <f t="shared" si="9"/>
        <v>100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v>0</v>
      </c>
      <c r="E42" s="14">
        <f t="shared" si="25"/>
        <v>6.0054242541650524E-3</v>
      </c>
      <c r="F42" s="106">
        <f>6200000</f>
        <v>6200000</v>
      </c>
      <c r="G42" s="104">
        <f t="shared" si="21"/>
        <v>0.60054242541650527</v>
      </c>
      <c r="H42" s="104">
        <f t="shared" si="22"/>
        <v>0.60054242541650527</v>
      </c>
      <c r="I42" s="105">
        <f t="shared" si="23"/>
        <v>-0.59453700116234021</v>
      </c>
      <c r="J42" s="89">
        <f t="shared" si="3"/>
        <v>1026200000</v>
      </c>
      <c r="K42" s="12">
        <f t="shared" si="9"/>
        <v>99.399457574583494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SUM(D44:D47)</f>
        <v>0</v>
      </c>
      <c r="E43" s="39">
        <f>SUM(E44:E47)</f>
        <v>0</v>
      </c>
      <c r="F43" s="37">
        <f>SUM(F44:F48)</f>
        <v>0</v>
      </c>
      <c r="G43" s="91">
        <f>SUM(G44:G61)</f>
        <v>9.0909090909090917</v>
      </c>
      <c r="H43" s="91">
        <f>SUM(H44:H61)</f>
        <v>9.0909090909090917</v>
      </c>
      <c r="I43" s="91">
        <f>E43-H43</f>
        <v>-9.0909090909090917</v>
      </c>
      <c r="J43" s="52">
        <f t="shared" si="3"/>
        <v>505228000</v>
      </c>
      <c r="K43" s="51">
        <f t="shared" si="9"/>
        <v>100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</v>
      </c>
      <c r="E44" s="14">
        <f>F44/C44*100%</f>
        <v>0</v>
      </c>
      <c r="F44" s="107">
        <v>0</v>
      </c>
      <c r="G44" s="104">
        <f t="shared" ref="G44:G48" si="26">H44</f>
        <v>0</v>
      </c>
      <c r="H44" s="104">
        <f t="shared" ref="H44:H48" si="27">F44/C44*100</f>
        <v>0</v>
      </c>
      <c r="I44" s="118">
        <f t="shared" ref="I44:I47" si="28">E44-H44</f>
        <v>0</v>
      </c>
      <c r="J44" s="89">
        <f t="shared" si="3"/>
        <v>206830000</v>
      </c>
      <c r="K44" s="12">
        <f t="shared" si="9"/>
        <v>100</v>
      </c>
      <c r="L44" s="16"/>
    </row>
    <row r="45" spans="1:14" ht="37.15" customHeight="1">
      <c r="A45" s="15"/>
      <c r="B45" s="136" t="s">
        <v>73</v>
      </c>
      <c r="C45" s="24">
        <v>9240000</v>
      </c>
      <c r="D45" s="14">
        <f t="shared" ref="D45:D48" si="29">E45</f>
        <v>0</v>
      </c>
      <c r="E45" s="14">
        <f t="shared" ref="E45:E48" si="30">F45/C45*100%</f>
        <v>0</v>
      </c>
      <c r="F45" s="107">
        <v>0</v>
      </c>
      <c r="G45" s="104">
        <f t="shared" si="26"/>
        <v>0</v>
      </c>
      <c r="H45" s="104">
        <f t="shared" si="27"/>
        <v>0</v>
      </c>
      <c r="I45" s="118">
        <f t="shared" si="28"/>
        <v>0</v>
      </c>
      <c r="J45" s="89">
        <f t="shared" si="3"/>
        <v>9240000</v>
      </c>
      <c r="K45" s="12">
        <f t="shared" si="9"/>
        <v>100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</v>
      </c>
      <c r="E46" s="14">
        <f t="shared" si="30"/>
        <v>0</v>
      </c>
      <c r="F46" s="107">
        <v>0</v>
      </c>
      <c r="G46" s="104">
        <f t="shared" si="26"/>
        <v>0</v>
      </c>
      <c r="H46" s="104">
        <f t="shared" si="27"/>
        <v>0</v>
      </c>
      <c r="I46" s="105">
        <f t="shared" si="28"/>
        <v>0</v>
      </c>
      <c r="J46" s="89">
        <f t="shared" si="3"/>
        <v>118970000</v>
      </c>
      <c r="K46" s="12">
        <f t="shared" si="9"/>
        <v>100</v>
      </c>
      <c r="L46" s="16"/>
    </row>
    <row r="47" spans="1:14" ht="19.149999999999999" customHeight="1">
      <c r="A47" s="15"/>
      <c r="B47" s="63" t="s">
        <v>42</v>
      </c>
      <c r="C47" s="24">
        <v>80708000</v>
      </c>
      <c r="D47" s="14">
        <f t="shared" si="29"/>
        <v>0</v>
      </c>
      <c r="E47" s="14">
        <f t="shared" si="30"/>
        <v>0</v>
      </c>
      <c r="F47" s="107">
        <v>0</v>
      </c>
      <c r="G47" s="104">
        <f t="shared" si="26"/>
        <v>0</v>
      </c>
      <c r="H47" s="104">
        <f t="shared" si="27"/>
        <v>0</v>
      </c>
      <c r="I47" s="105">
        <f t="shared" si="28"/>
        <v>0</v>
      </c>
      <c r="J47" s="89">
        <f t="shared" si="3"/>
        <v>80708000</v>
      </c>
      <c r="K47" s="12">
        <f t="shared" si="9"/>
        <v>100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</v>
      </c>
      <c r="E48" s="14">
        <f t="shared" si="30"/>
        <v>0</v>
      </c>
      <c r="F48" s="107">
        <v>0</v>
      </c>
      <c r="G48" s="104">
        <f t="shared" si="26"/>
        <v>0</v>
      </c>
      <c r="H48" s="104">
        <f t="shared" si="27"/>
        <v>0</v>
      </c>
      <c r="I48" s="105">
        <f>E48-H48</f>
        <v>0</v>
      </c>
      <c r="J48" s="89">
        <f t="shared" si="3"/>
        <v>89480000</v>
      </c>
      <c r="K48" s="12">
        <f t="shared" si="9"/>
        <v>100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</v>
      </c>
      <c r="E49" s="67">
        <f>E50</f>
        <v>0</v>
      </c>
      <c r="F49" s="67">
        <f>F50+F52</f>
        <v>6000000</v>
      </c>
      <c r="G49" s="67">
        <f t="shared" ref="G49:I49" si="31">G50</f>
        <v>0</v>
      </c>
      <c r="H49" s="67">
        <f t="shared" si="31"/>
        <v>0</v>
      </c>
      <c r="I49" s="67">
        <f t="shared" si="31"/>
        <v>0</v>
      </c>
      <c r="J49" s="59">
        <f t="shared" si="3"/>
        <v>192012940</v>
      </c>
      <c r="K49" s="58">
        <f t="shared" si="9"/>
        <v>96.969894997771348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</v>
      </c>
      <c r="E50" s="109">
        <f>SUM(E51:E51)</f>
        <v>0</v>
      </c>
      <c r="F50" s="110">
        <f>SUM(F51)</f>
        <v>0</v>
      </c>
      <c r="G50" s="110">
        <f t="shared" ref="G50:I50" si="32">SUM(G51)</f>
        <v>0</v>
      </c>
      <c r="H50" s="110">
        <f t="shared" si="32"/>
        <v>0</v>
      </c>
      <c r="I50" s="110">
        <f t="shared" si="32"/>
        <v>0</v>
      </c>
      <c r="J50" s="52">
        <f t="shared" si="3"/>
        <v>49535000</v>
      </c>
      <c r="K50" s="51">
        <f t="shared" si="9"/>
        <v>100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</v>
      </c>
      <c r="E51" s="108">
        <f>F51/C51*100%</f>
        <v>0</v>
      </c>
      <c r="F51" s="107">
        <v>0</v>
      </c>
      <c r="G51" s="111">
        <f>H51</f>
        <v>0</v>
      </c>
      <c r="H51" s="111">
        <f>F51/C51*100</f>
        <v>0</v>
      </c>
      <c r="I51" s="108">
        <f>E51-H51</f>
        <v>0</v>
      </c>
      <c r="J51" s="89">
        <f t="shared" si="3"/>
        <v>49535000</v>
      </c>
      <c r="K51" s="12">
        <f t="shared" si="9"/>
        <v>100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SUM(D53)</f>
        <v>0</v>
      </c>
      <c r="E52" s="39">
        <f>E53</f>
        <v>0</v>
      </c>
      <c r="F52" s="37">
        <f>SUM(F53:F54)</f>
        <v>6000000</v>
      </c>
      <c r="G52" s="37">
        <f t="shared" ref="G52:I52" si="34">SUM(G53:G54)</f>
        <v>4.5454545454545459</v>
      </c>
      <c r="H52" s="37">
        <f t="shared" si="34"/>
        <v>4.5454545454545459</v>
      </c>
      <c r="I52" s="37">
        <f t="shared" si="34"/>
        <v>-4.5</v>
      </c>
      <c r="J52" s="52">
        <f t="shared" si="3"/>
        <v>142477940</v>
      </c>
      <c r="K52" s="51">
        <f t="shared" si="9"/>
        <v>95.958995659557232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16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4.5454545454545456E-2</v>
      </c>
      <c r="E54" s="108">
        <f>F54/C54*100%</f>
        <v>4.5454545454545456E-2</v>
      </c>
      <c r="F54" s="107">
        <f>6000000</f>
        <v>6000000</v>
      </c>
      <c r="G54" s="111">
        <f>H54</f>
        <v>4.5454545454545459</v>
      </c>
      <c r="H54" s="111">
        <f>F54/C54*100</f>
        <v>4.5454545454545459</v>
      </c>
      <c r="I54" s="108">
        <f>E54-H54</f>
        <v>-4.5</v>
      </c>
      <c r="J54" s="89">
        <f t="shared" si="3"/>
        <v>126000000</v>
      </c>
      <c r="K54" s="12">
        <f t="shared" si="9"/>
        <v>95.454545454545453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</v>
      </c>
      <c r="E55" s="79">
        <f>E56</f>
        <v>0</v>
      </c>
      <c r="F55" s="113">
        <f>F56+F60</f>
        <v>0</v>
      </c>
      <c r="G55" s="113">
        <f t="shared" ref="G55:I55" si="36">G56+G60</f>
        <v>0</v>
      </c>
      <c r="H55" s="113">
        <f t="shared" si="36"/>
        <v>0</v>
      </c>
      <c r="I55" s="113">
        <f t="shared" si="36"/>
        <v>0</v>
      </c>
      <c r="J55" s="59">
        <f t="shared" si="3"/>
        <v>5865401574</v>
      </c>
      <c r="K55" s="58">
        <f t="shared" si="9"/>
        <v>100</v>
      </c>
      <c r="L55" s="77"/>
    </row>
    <row r="56" spans="1:14" ht="29.45" customHeight="1">
      <c r="A56" s="69" t="s">
        <v>91</v>
      </c>
      <c r="B56" s="138" t="s">
        <v>75</v>
      </c>
      <c r="C56" s="139">
        <f>C57+C58+C59</f>
        <v>5786321644</v>
      </c>
      <c r="D56" s="114">
        <f>D57+D58+D59</f>
        <v>0</v>
      </c>
      <c r="E56" s="114">
        <f>E57+E58+E59</f>
        <v>0</v>
      </c>
      <c r="F56" s="140">
        <f>F57+F58+F59</f>
        <v>0</v>
      </c>
      <c r="G56" s="140">
        <f t="shared" ref="G56:I56" si="37">G57+G58+G59</f>
        <v>0</v>
      </c>
      <c r="H56" s="140">
        <f t="shared" si="37"/>
        <v>0</v>
      </c>
      <c r="I56" s="140">
        <f t="shared" si="37"/>
        <v>0</v>
      </c>
      <c r="J56" s="52">
        <f>C56-F56</f>
        <v>5786321644</v>
      </c>
      <c r="K56" s="51">
        <f t="shared" si="9"/>
        <v>100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</v>
      </c>
      <c r="E57" s="108">
        <f>F57/C57*100%</f>
        <v>0</v>
      </c>
      <c r="F57" s="107">
        <v>0</v>
      </c>
      <c r="G57" s="111">
        <f>H57</f>
        <v>0</v>
      </c>
      <c r="H57" s="111">
        <f>F57*C57/100</f>
        <v>0</v>
      </c>
      <c r="I57" s="108">
        <f>E57-H57</f>
        <v>0</v>
      </c>
      <c r="J57" s="122">
        <f>C57-F57</f>
        <v>167418966</v>
      </c>
      <c r="K57" s="123">
        <f t="shared" si="9"/>
        <v>100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8">E58</f>
        <v>0</v>
      </c>
      <c r="E58" s="108">
        <f t="shared" ref="E58:E59" si="39">F58/C58*100%</f>
        <v>0</v>
      </c>
      <c r="F58" s="107">
        <v>0</v>
      </c>
      <c r="G58" s="111">
        <f t="shared" ref="G58:G59" si="40">H58</f>
        <v>0</v>
      </c>
      <c r="H58" s="111">
        <f t="shared" ref="H58:H59" si="41">F58*C58/100</f>
        <v>0</v>
      </c>
      <c r="I58" s="108">
        <f t="shared" ref="I58:I59" si="42">E58-H58</f>
        <v>0</v>
      </c>
      <c r="J58" s="122">
        <f t="shared" ref="J58:J59" si="43">C58-F58</f>
        <v>1125522789</v>
      </c>
      <c r="K58" s="123">
        <f t="shared" si="9"/>
        <v>100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8"/>
        <v>0</v>
      </c>
      <c r="E59" s="108">
        <f t="shared" si="39"/>
        <v>0</v>
      </c>
      <c r="F59" s="107">
        <v>0</v>
      </c>
      <c r="G59" s="111">
        <f t="shared" si="40"/>
        <v>0</v>
      </c>
      <c r="H59" s="111">
        <f t="shared" si="41"/>
        <v>0</v>
      </c>
      <c r="I59" s="108">
        <f t="shared" si="42"/>
        <v>0</v>
      </c>
      <c r="J59" s="122">
        <f t="shared" si="43"/>
        <v>4493379889</v>
      </c>
      <c r="K59" s="123">
        <f t="shared" si="9"/>
        <v>100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4">F60</f>
        <v>0</v>
      </c>
      <c r="H60" s="109">
        <f t="shared" si="44"/>
        <v>0</v>
      </c>
      <c r="I60" s="109">
        <f t="shared" si="44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5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16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5"/>
        <v>0</v>
      </c>
      <c r="E62" s="108">
        <f t="shared" ref="E62:E63" si="46">F62/C62*100%</f>
        <v>0</v>
      </c>
      <c r="F62" s="107">
        <v>0</v>
      </c>
      <c r="G62" s="111">
        <f t="shared" ref="G62:G63" si="47">H62</f>
        <v>0</v>
      </c>
      <c r="H62" s="111">
        <f t="shared" ref="H62:H63" si="48">F62/C62*100</f>
        <v>0</v>
      </c>
      <c r="I62" s="108">
        <f t="shared" ref="I62:I63" si="49">E62-H62</f>
        <v>0</v>
      </c>
      <c r="J62" s="89">
        <f t="shared" si="3"/>
        <v>15600000</v>
      </c>
      <c r="K62" s="12">
        <f t="shared" si="9"/>
        <v>100</v>
      </c>
      <c r="L62" s="18"/>
    </row>
    <row r="63" spans="1:14" ht="19.149999999999999" customHeight="1">
      <c r="A63" s="18"/>
      <c r="B63" s="34" t="s">
        <v>70</v>
      </c>
      <c r="C63" s="20">
        <v>24109818</v>
      </c>
      <c r="D63" s="14">
        <f t="shared" si="45"/>
        <v>0</v>
      </c>
      <c r="E63" s="108">
        <f t="shared" si="46"/>
        <v>0</v>
      </c>
      <c r="F63" s="107">
        <v>0</v>
      </c>
      <c r="G63" s="111">
        <f t="shared" si="47"/>
        <v>0</v>
      </c>
      <c r="H63" s="111">
        <f t="shared" si="48"/>
        <v>0</v>
      </c>
      <c r="I63" s="108">
        <f t="shared" si="49"/>
        <v>0</v>
      </c>
      <c r="J63" s="89">
        <f t="shared" si="3"/>
        <v>24109818</v>
      </c>
      <c r="K63" s="12">
        <f t="shared" si="9"/>
        <v>100</v>
      </c>
      <c r="L63" s="18"/>
    </row>
    <row r="64" spans="1:14" s="27" customFormat="1" ht="19.149999999999999" customHeight="1">
      <c r="A64" s="65" t="s">
        <v>82</v>
      </c>
      <c r="B64" s="76" t="s">
        <v>51</v>
      </c>
      <c r="C64" s="78">
        <f>C65</f>
        <v>300631000</v>
      </c>
      <c r="D64" s="79">
        <f>D65</f>
        <v>0</v>
      </c>
      <c r="E64" s="79"/>
      <c r="F64" s="80">
        <f>F65</f>
        <v>0</v>
      </c>
      <c r="G64" s="80">
        <f t="shared" ref="G64:I64" si="50">G65</f>
        <v>0</v>
      </c>
      <c r="H64" s="80">
        <f t="shared" si="50"/>
        <v>0</v>
      </c>
      <c r="I64" s="80">
        <f t="shared" si="50"/>
        <v>0</v>
      </c>
      <c r="J64" s="59">
        <f t="shared" si="3"/>
        <v>300631000</v>
      </c>
      <c r="K64" s="58">
        <f t="shared" si="9"/>
        <v>100</v>
      </c>
      <c r="L64" s="82"/>
    </row>
    <row r="65" spans="1:12" ht="37.15" customHeight="1">
      <c r="A65" s="70" t="s">
        <v>93</v>
      </c>
      <c r="B65" s="119" t="s">
        <v>71</v>
      </c>
      <c r="C65" s="84">
        <f>SUM(C66:C68)</f>
        <v>300631000</v>
      </c>
      <c r="D65" s="114">
        <f>SUM(D66:D68)</f>
        <v>0</v>
      </c>
      <c r="E65" s="114">
        <f>SUM(E66:E68)</f>
        <v>0</v>
      </c>
      <c r="F65" s="114">
        <f>SUM(F66:F68)</f>
        <v>0</v>
      </c>
      <c r="G65" s="114">
        <f t="shared" ref="G65:I65" si="51">SUM(G66:G68)</f>
        <v>0</v>
      </c>
      <c r="H65" s="114">
        <f t="shared" si="51"/>
        <v>0</v>
      </c>
      <c r="I65" s="114">
        <f t="shared" si="51"/>
        <v>0</v>
      </c>
      <c r="J65" s="52">
        <f t="shared" si="3"/>
        <v>300631000</v>
      </c>
      <c r="K65" s="51">
        <f t="shared" si="9"/>
        <v>100</v>
      </c>
      <c r="L65" s="83"/>
    </row>
    <row r="66" spans="1:12" ht="76.150000000000006" customHeight="1">
      <c r="A66" s="43"/>
      <c r="B66" s="64" t="s">
        <v>52</v>
      </c>
      <c r="C66" s="26">
        <v>99126000</v>
      </c>
      <c r="D66" s="14">
        <f t="shared" ref="D66:D68" si="52">E66</f>
        <v>0</v>
      </c>
      <c r="E66" s="108">
        <f>F66/C66*100%</f>
        <v>0</v>
      </c>
      <c r="F66" s="115">
        <v>0</v>
      </c>
      <c r="G66" s="116">
        <f>H66</f>
        <v>0</v>
      </c>
      <c r="H66" s="116">
        <f>F66/C66*100</f>
        <v>0</v>
      </c>
      <c r="I66" s="108">
        <f>E66-H66</f>
        <v>0</v>
      </c>
      <c r="J66" s="89">
        <f t="shared" si="3"/>
        <v>99126000</v>
      </c>
      <c r="K66" s="12">
        <f t="shared" si="9"/>
        <v>100</v>
      </c>
      <c r="L66" s="19"/>
    </row>
    <row r="67" spans="1:12" ht="48" customHeight="1">
      <c r="A67" s="41"/>
      <c r="B67" s="64" t="s">
        <v>53</v>
      </c>
      <c r="C67" s="26">
        <v>163575000</v>
      </c>
      <c r="D67" s="14">
        <f t="shared" si="52"/>
        <v>0</v>
      </c>
      <c r="E67" s="108">
        <f t="shared" ref="E67:E68" si="53">F67/C67*100%</f>
        <v>0</v>
      </c>
      <c r="F67" s="115">
        <v>0</v>
      </c>
      <c r="G67" s="116">
        <f t="shared" ref="G67:G68" si="54">H67</f>
        <v>0</v>
      </c>
      <c r="H67" s="116">
        <f t="shared" ref="H67:H68" si="55">F67/C67*100</f>
        <v>0</v>
      </c>
      <c r="I67" s="108">
        <f t="shared" ref="I67:I68" si="56">E67-H67</f>
        <v>0</v>
      </c>
      <c r="J67" s="89">
        <f t="shared" si="3"/>
        <v>163575000</v>
      </c>
      <c r="K67" s="12">
        <f t="shared" si="9"/>
        <v>100</v>
      </c>
      <c r="L67" s="19"/>
    </row>
    <row r="68" spans="1:12" ht="19.149999999999999" customHeight="1">
      <c r="A68" s="15"/>
      <c r="B68" s="63" t="s">
        <v>54</v>
      </c>
      <c r="C68" s="26">
        <v>37930000</v>
      </c>
      <c r="D68" s="124">
        <f t="shared" si="52"/>
        <v>0</v>
      </c>
      <c r="E68" s="108">
        <f t="shared" si="53"/>
        <v>0</v>
      </c>
      <c r="F68" s="115">
        <v>0</v>
      </c>
      <c r="G68" s="116">
        <f t="shared" si="54"/>
        <v>0</v>
      </c>
      <c r="H68" s="116">
        <f t="shared" si="55"/>
        <v>0</v>
      </c>
      <c r="I68" s="108">
        <f t="shared" si="56"/>
        <v>0</v>
      </c>
      <c r="J68" s="125">
        <f t="shared" si="3"/>
        <v>37930000</v>
      </c>
      <c r="K68" s="7">
        <f t="shared" si="9"/>
        <v>100</v>
      </c>
      <c r="L68" s="19"/>
    </row>
    <row r="69" spans="1:12">
      <c r="G69" s="117"/>
      <c r="H69" s="117"/>
    </row>
    <row r="70" spans="1:12">
      <c r="G70" s="117"/>
      <c r="H70" s="117"/>
    </row>
    <row r="71" spans="1:12">
      <c r="G71" s="117"/>
      <c r="H71" s="117"/>
    </row>
    <row r="72" spans="1:12">
      <c r="G72" s="117"/>
      <c r="H72" s="117"/>
    </row>
    <row r="73" spans="1:12">
      <c r="G73" s="117"/>
      <c r="H73" s="117"/>
    </row>
    <row r="74" spans="1:12">
      <c r="G74" s="117"/>
      <c r="H74" s="117"/>
    </row>
    <row r="75" spans="1:12">
      <c r="G75" s="117"/>
      <c r="H75" s="117"/>
    </row>
    <row r="76" spans="1:12">
      <c r="G76" s="117"/>
      <c r="H76" s="117"/>
    </row>
    <row r="77" spans="1:12">
      <c r="G77" s="117"/>
      <c r="H77" s="117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7:8">
      <c r="G81" s="117"/>
      <c r="H81" s="117"/>
    </row>
    <row r="82" spans="7:8">
      <c r="G82" s="117"/>
      <c r="H82" s="117"/>
    </row>
    <row r="83" spans="7:8">
      <c r="G83" s="117"/>
      <c r="H83" s="117"/>
    </row>
    <row r="84" spans="7:8">
      <c r="G84" s="117"/>
      <c r="H84" s="117"/>
    </row>
    <row r="85" spans="7:8">
      <c r="G85" s="117"/>
      <c r="H85" s="117"/>
    </row>
    <row r="86" spans="7:8">
      <c r="G86" s="117"/>
      <c r="H86" s="117"/>
    </row>
    <row r="87" spans="7:8">
      <c r="G87" s="117"/>
      <c r="H87" s="117"/>
    </row>
    <row r="88" spans="7:8">
      <c r="G88" s="117"/>
      <c r="H88" s="117"/>
    </row>
    <row r="89" spans="7:8">
      <c r="G89" s="117"/>
      <c r="H89" s="117"/>
    </row>
    <row r="90" spans="7:8">
      <c r="G90" s="117"/>
      <c r="H90" s="117"/>
    </row>
    <row r="91" spans="7:8">
      <c r="G91" s="117"/>
      <c r="H91" s="117"/>
    </row>
    <row r="92" spans="7:8">
      <c r="G92" s="117"/>
      <c r="H92" s="117"/>
    </row>
    <row r="93" spans="7:8">
      <c r="G93" s="117"/>
      <c r="H93" s="117"/>
    </row>
    <row r="94" spans="7:8">
      <c r="G94" s="117"/>
      <c r="H94" s="117"/>
    </row>
    <row r="95" spans="7:8">
      <c r="G95" s="117"/>
      <c r="H95" s="117"/>
    </row>
    <row r="96" spans="7:8">
      <c r="G96" s="117"/>
      <c r="H96" s="117"/>
    </row>
    <row r="97" spans="7:8">
      <c r="G97" s="117"/>
      <c r="H97" s="117"/>
    </row>
    <row r="98" spans="7:8">
      <c r="G98" s="117"/>
      <c r="H98" s="117"/>
    </row>
    <row r="99" spans="7:8">
      <c r="G99" s="117"/>
      <c r="H99" s="117"/>
    </row>
    <row r="100" spans="7:8">
      <c r="G100" s="117"/>
      <c r="H100" s="117"/>
    </row>
    <row r="101" spans="7:8">
      <c r="G101" s="117"/>
      <c r="H101" s="117"/>
    </row>
    <row r="102" spans="7:8">
      <c r="G102" s="117"/>
      <c r="H102" s="117"/>
    </row>
    <row r="103" spans="7:8">
      <c r="G103" s="117"/>
      <c r="H103" s="117"/>
    </row>
    <row r="104" spans="7:8">
      <c r="G104" s="117"/>
      <c r="H104" s="117"/>
    </row>
    <row r="105" spans="7:8">
      <c r="G105" s="117"/>
      <c r="H105" s="117"/>
    </row>
    <row r="106" spans="7:8">
      <c r="G106" s="117"/>
      <c r="H106" s="117"/>
    </row>
    <row r="107" spans="7:8">
      <c r="G107" s="117"/>
      <c r="H107" s="117"/>
    </row>
    <row r="108" spans="7:8">
      <c r="G108" s="117"/>
      <c r="H108" s="117"/>
    </row>
    <row r="109" spans="7:8">
      <c r="G109" s="117"/>
      <c r="H109" s="117"/>
    </row>
    <row r="110" spans="7:8">
      <c r="G110" s="117"/>
      <c r="H110" s="117"/>
    </row>
    <row r="111" spans="7:8">
      <c r="G111" s="117"/>
      <c r="H111" s="117"/>
    </row>
    <row r="112" spans="7:8">
      <c r="G112" s="117"/>
      <c r="H112" s="117"/>
    </row>
    <row r="113" spans="7:8">
      <c r="G113" s="117"/>
      <c r="H113" s="117"/>
    </row>
    <row r="114" spans="7:8">
      <c r="G114" s="117"/>
      <c r="H114" s="117"/>
    </row>
    <row r="115" spans="7:8">
      <c r="G115" s="117"/>
      <c r="H115" s="117"/>
    </row>
    <row r="116" spans="7:8">
      <c r="G116" s="117"/>
      <c r="H116" s="117"/>
    </row>
    <row r="117" spans="7:8">
      <c r="G117" s="117"/>
      <c r="H117" s="117"/>
    </row>
    <row r="118" spans="7:8">
      <c r="G118" s="117"/>
      <c r="H118" s="117"/>
    </row>
    <row r="119" spans="7:8">
      <c r="G119" s="117"/>
      <c r="H119" s="117"/>
    </row>
    <row r="120" spans="7:8">
      <c r="G120" s="117"/>
      <c r="H120" s="117"/>
    </row>
    <row r="121" spans="7:8">
      <c r="G121" s="117"/>
      <c r="H121" s="117"/>
    </row>
    <row r="122" spans="7:8">
      <c r="G122" s="117"/>
      <c r="H122" s="117"/>
    </row>
    <row r="123" spans="7:8">
      <c r="G123" s="117"/>
      <c r="H123" s="117"/>
    </row>
    <row r="124" spans="7:8">
      <c r="G124" s="117"/>
      <c r="H124" s="117"/>
    </row>
    <row r="125" spans="7:8">
      <c r="G125" s="117"/>
      <c r="H125" s="117"/>
    </row>
    <row r="126" spans="7:8">
      <c r="G126" s="117"/>
      <c r="H126" s="117"/>
    </row>
    <row r="127" spans="7:8">
      <c r="G127" s="117"/>
      <c r="H127" s="117"/>
    </row>
    <row r="128" spans="7:8">
      <c r="G128" s="117"/>
      <c r="H128" s="117"/>
    </row>
    <row r="129" spans="7:8">
      <c r="G129" s="117"/>
      <c r="H129" s="117"/>
    </row>
    <row r="130" spans="7:8">
      <c r="G130" s="117"/>
      <c r="H130" s="117"/>
    </row>
    <row r="131" spans="7:8">
      <c r="G131" s="117"/>
      <c r="H131" s="117"/>
    </row>
    <row r="132" spans="7:8">
      <c r="G132" s="117"/>
      <c r="H132" s="117"/>
    </row>
    <row r="133" spans="7:8">
      <c r="G133" s="117"/>
      <c r="H133" s="117"/>
    </row>
    <row r="134" spans="7:8">
      <c r="G134" s="117"/>
      <c r="H134" s="117"/>
    </row>
    <row r="135" spans="7:8">
      <c r="G135" s="117"/>
      <c r="H135" s="117"/>
    </row>
    <row r="136" spans="7:8">
      <c r="G136" s="117"/>
      <c r="H136" s="117"/>
    </row>
    <row r="137" spans="7:8">
      <c r="G137" s="117"/>
      <c r="H137" s="117"/>
    </row>
    <row r="138" spans="7:8">
      <c r="G138" s="117"/>
      <c r="H138" s="117"/>
    </row>
    <row r="139" spans="7:8">
      <c r="G139" s="117"/>
      <c r="H139" s="117"/>
    </row>
    <row r="140" spans="7:8">
      <c r="G140" s="117"/>
      <c r="H140" s="117"/>
    </row>
    <row r="141" spans="7:8">
      <c r="G141" s="117"/>
      <c r="H141" s="117"/>
    </row>
    <row r="142" spans="7:8">
      <c r="G142" s="117"/>
      <c r="H142" s="117"/>
    </row>
    <row r="143" spans="7:8">
      <c r="G143" s="117"/>
      <c r="H143" s="117"/>
    </row>
    <row r="144" spans="7:8">
      <c r="G144" s="117"/>
      <c r="H144" s="117"/>
    </row>
    <row r="145" spans="7:8">
      <c r="G145" s="117"/>
      <c r="H145" s="117"/>
    </row>
    <row r="146" spans="7:8">
      <c r="G146" s="117"/>
      <c r="H146" s="117"/>
    </row>
    <row r="147" spans="7:8">
      <c r="G147" s="117"/>
      <c r="H147" s="117"/>
    </row>
    <row r="148" spans="7:8">
      <c r="G148" s="117"/>
      <c r="H148" s="117"/>
    </row>
    <row r="149" spans="7:8">
      <c r="G149" s="117"/>
      <c r="H149" s="117"/>
    </row>
    <row r="150" spans="7:8">
      <c r="G150" s="117"/>
      <c r="H150" s="117"/>
    </row>
    <row r="151" spans="7:8">
      <c r="G151" s="117"/>
      <c r="H151" s="117"/>
    </row>
    <row r="152" spans="7:8">
      <c r="G152" s="117"/>
      <c r="H152" s="117"/>
    </row>
    <row r="153" spans="7:8">
      <c r="G153" s="117"/>
      <c r="H153" s="117"/>
    </row>
    <row r="154" spans="7:8">
      <c r="G154" s="117"/>
      <c r="H154" s="117"/>
    </row>
    <row r="155" spans="7:8">
      <c r="G155" s="117"/>
      <c r="H155" s="117"/>
    </row>
    <row r="156" spans="7:8">
      <c r="G156" s="117"/>
      <c r="H156" s="117"/>
    </row>
    <row r="157" spans="7:8">
      <c r="G157" s="117"/>
      <c r="H157" s="117"/>
    </row>
    <row r="158" spans="7:8">
      <c r="G158" s="117"/>
      <c r="H158" s="117"/>
    </row>
    <row r="159" spans="7:8">
      <c r="G159" s="117"/>
      <c r="H159" s="117"/>
    </row>
    <row r="160" spans="7:8">
      <c r="G160" s="117"/>
      <c r="H160" s="117"/>
    </row>
    <row r="161" spans="7:8">
      <c r="G161" s="117"/>
      <c r="H161" s="117"/>
    </row>
    <row r="162" spans="7:8">
      <c r="G162" s="117"/>
      <c r="H162" s="117"/>
    </row>
    <row r="163" spans="7:8">
      <c r="G163" s="117"/>
      <c r="H163" s="117"/>
    </row>
    <row r="164" spans="7:8">
      <c r="G164" s="117"/>
      <c r="H164" s="117"/>
    </row>
    <row r="165" spans="7:8">
      <c r="G165" s="117"/>
      <c r="H165" s="117"/>
    </row>
    <row r="166" spans="7:8">
      <c r="G166" s="117"/>
      <c r="H166" s="117"/>
    </row>
    <row r="167" spans="7:8">
      <c r="G167" s="117"/>
      <c r="H167" s="117"/>
    </row>
    <row r="168" spans="7:8">
      <c r="G168" s="117"/>
      <c r="H168" s="117"/>
    </row>
    <row r="169" spans="7:8">
      <c r="G169" s="117"/>
      <c r="H169" s="117"/>
    </row>
    <row r="170" spans="7:8">
      <c r="G170" s="117"/>
      <c r="H170" s="117"/>
    </row>
    <row r="171" spans="7:8">
      <c r="G171" s="117"/>
      <c r="H171" s="117"/>
    </row>
    <row r="172" spans="7:8">
      <c r="G172" s="117"/>
      <c r="H172" s="117"/>
    </row>
    <row r="173" spans="7:8">
      <c r="G173" s="117"/>
      <c r="H173" s="117"/>
    </row>
    <row r="174" spans="7:8">
      <c r="G174" s="117"/>
      <c r="H174" s="117"/>
    </row>
    <row r="175" spans="7:8">
      <c r="G175" s="117"/>
      <c r="H175" s="117"/>
    </row>
    <row r="176" spans="7:8">
      <c r="G176" s="117"/>
      <c r="H176" s="117"/>
    </row>
    <row r="177" spans="7:8">
      <c r="G177" s="117"/>
      <c r="H177" s="117"/>
    </row>
    <row r="178" spans="7:8">
      <c r="G178" s="117"/>
      <c r="H178" s="117"/>
    </row>
    <row r="179" spans="7:8">
      <c r="G179" s="117"/>
      <c r="H179" s="117"/>
    </row>
    <row r="180" spans="7:8">
      <c r="G180" s="117"/>
      <c r="H180" s="117"/>
    </row>
    <row r="181" spans="7:8">
      <c r="G181" s="117"/>
      <c r="H181" s="117"/>
    </row>
    <row r="182" spans="7:8">
      <c r="G182" s="117"/>
      <c r="H182" s="117"/>
    </row>
    <row r="183" spans="7:8">
      <c r="G183" s="117"/>
      <c r="H183" s="117"/>
    </row>
    <row r="184" spans="7:8">
      <c r="G184" s="117"/>
      <c r="H184" s="117"/>
    </row>
    <row r="185" spans="7:8">
      <c r="G185" s="117"/>
      <c r="H185" s="117"/>
    </row>
    <row r="186" spans="7:8">
      <c r="G186" s="117"/>
      <c r="H186" s="117"/>
    </row>
    <row r="187" spans="7:8">
      <c r="G187" s="117"/>
      <c r="H187" s="117"/>
    </row>
    <row r="188" spans="7:8">
      <c r="G188" s="117"/>
      <c r="H188" s="117"/>
    </row>
    <row r="189" spans="7:8">
      <c r="G189" s="117"/>
      <c r="H189" s="117"/>
    </row>
    <row r="190" spans="7:8">
      <c r="G190" s="117"/>
      <c r="H190" s="117"/>
    </row>
    <row r="191" spans="7:8">
      <c r="G191" s="117"/>
      <c r="H191" s="117"/>
    </row>
    <row r="192" spans="7:8">
      <c r="G192" s="117"/>
      <c r="H192" s="117"/>
    </row>
    <row r="193" spans="7:8">
      <c r="G193" s="117"/>
      <c r="H193" s="117"/>
    </row>
    <row r="194" spans="7:8">
      <c r="G194" s="117"/>
      <c r="H194" s="117"/>
    </row>
    <row r="195" spans="7:8">
      <c r="G195" s="117"/>
      <c r="H195" s="117"/>
    </row>
    <row r="196" spans="7:8">
      <c r="G196" s="117"/>
      <c r="H196" s="117"/>
    </row>
    <row r="197" spans="7:8">
      <c r="G197" s="117"/>
      <c r="H197" s="117"/>
    </row>
    <row r="198" spans="7:8">
      <c r="G198" s="117"/>
      <c r="H198" s="117"/>
    </row>
    <row r="199" spans="7:8">
      <c r="G199" s="117"/>
      <c r="H199" s="117"/>
    </row>
    <row r="200" spans="7:8">
      <c r="G200" s="117"/>
      <c r="H200" s="117"/>
    </row>
    <row r="201" spans="7:8">
      <c r="G201" s="117"/>
      <c r="H201" s="117"/>
    </row>
    <row r="202" spans="7:8">
      <c r="G202" s="117"/>
      <c r="H202" s="117"/>
    </row>
    <row r="203" spans="7:8">
      <c r="G203" s="117"/>
      <c r="H203" s="117"/>
    </row>
    <row r="204" spans="7:8">
      <c r="G204" s="117"/>
      <c r="H204" s="117"/>
    </row>
    <row r="205" spans="7:8">
      <c r="G205" s="117"/>
      <c r="H205" s="117"/>
    </row>
    <row r="206" spans="7:8">
      <c r="G206" s="117"/>
      <c r="H206" s="117"/>
    </row>
    <row r="207" spans="7:8">
      <c r="G207" s="117"/>
      <c r="H207" s="117"/>
    </row>
    <row r="208" spans="7:8">
      <c r="G208" s="117"/>
      <c r="H208" s="117"/>
    </row>
    <row r="209" spans="7:8">
      <c r="G209" s="117"/>
      <c r="H209" s="117"/>
    </row>
    <row r="210" spans="7:8">
      <c r="G210" s="117"/>
      <c r="H210" s="117"/>
    </row>
    <row r="211" spans="7:8">
      <c r="G211" s="117"/>
      <c r="H211" s="117"/>
    </row>
    <row r="212" spans="7:8">
      <c r="G212" s="117"/>
      <c r="H212" s="117"/>
    </row>
    <row r="213" spans="7:8">
      <c r="G213" s="117"/>
      <c r="H213" s="117"/>
    </row>
    <row r="214" spans="7:8">
      <c r="G214" s="117"/>
      <c r="H214" s="117"/>
    </row>
    <row r="215" spans="7:8">
      <c r="G215" s="117"/>
      <c r="H215" s="117"/>
    </row>
    <row r="216" spans="7:8">
      <c r="G216" s="117"/>
      <c r="H216" s="117"/>
    </row>
    <row r="217" spans="7:8">
      <c r="G217" s="117"/>
      <c r="H217" s="117"/>
    </row>
    <row r="218" spans="7:8">
      <c r="G218" s="117"/>
      <c r="H218" s="117"/>
    </row>
    <row r="219" spans="7:8">
      <c r="G219" s="117"/>
      <c r="H219" s="117"/>
    </row>
    <row r="220" spans="7:8">
      <c r="G220" s="117"/>
      <c r="H220" s="117"/>
    </row>
    <row r="221" spans="7:8">
      <c r="G221" s="117"/>
      <c r="H221" s="117"/>
    </row>
    <row r="222" spans="7:8">
      <c r="G222" s="117"/>
      <c r="H222" s="117"/>
    </row>
    <row r="223" spans="7:8">
      <c r="G223" s="117"/>
      <c r="H223" s="117"/>
    </row>
    <row r="224" spans="7:8">
      <c r="G224" s="117"/>
      <c r="H224" s="117"/>
    </row>
    <row r="225" spans="7:8">
      <c r="G225" s="117"/>
      <c r="H225" s="117"/>
    </row>
  </sheetData>
  <mergeCells count="13">
    <mergeCell ref="D8:E8"/>
    <mergeCell ref="F8:H8"/>
    <mergeCell ref="A12:B12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300" r:id="rId1"/>
  <rowBreaks count="1" manualBreakCount="1">
    <brk id="39" max="1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5"/>
  <sheetViews>
    <sheetView view="pageBreakPreview" topLeftCell="A55" zoomScale="80" zoomScaleSheetLayoutView="80" workbookViewId="0">
      <selection activeCell="F71" sqref="F71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6.285156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10</v>
      </c>
      <c r="N5" s="44"/>
    </row>
    <row r="6" spans="1:14">
      <c r="A6" s="4"/>
      <c r="C6" s="22"/>
      <c r="J6" s="3" t="s">
        <v>3</v>
      </c>
      <c r="K6" s="3" t="s">
        <v>94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87" t="s">
        <v>8</v>
      </c>
      <c r="C10" s="129">
        <f>C11</f>
        <v>20189005295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87" t="s">
        <v>9</v>
      </c>
      <c r="C11" s="129">
        <f>C12</f>
        <v>20189005295</v>
      </c>
      <c r="D11" s="94">
        <f t="shared" ref="D11:I11" si="0">D12</f>
        <v>4.244819582090327E-2</v>
      </c>
      <c r="E11" s="94">
        <f t="shared" si="0"/>
        <v>2.9067534107058642E-2</v>
      </c>
      <c r="F11" s="94">
        <f t="shared" si="0"/>
        <v>586844600</v>
      </c>
      <c r="G11" s="94">
        <f t="shared" si="0"/>
        <v>2.9067534107058641</v>
      </c>
      <c r="H11" s="94">
        <f t="shared" si="0"/>
        <v>2.9067534107058641</v>
      </c>
      <c r="I11" s="94">
        <f t="shared" si="0"/>
        <v>-2.8776858765988056</v>
      </c>
      <c r="J11" s="6">
        <f>C11-F11</f>
        <v>19602160695</v>
      </c>
      <c r="K11" s="6">
        <f>J11/C11*100</f>
        <v>97.093246589294139</v>
      </c>
      <c r="L11" s="9"/>
      <c r="N11" s="1"/>
    </row>
    <row r="12" spans="1:14" ht="25.15" customHeight="1">
      <c r="A12" s="236" t="s">
        <v>66</v>
      </c>
      <c r="B12" s="237"/>
      <c r="C12" s="127">
        <f>C13+C49+C55+C64</f>
        <v>20189005295</v>
      </c>
      <c r="D12" s="126">
        <f>D13+D64+D49</f>
        <v>4.244819582090327E-2</v>
      </c>
      <c r="E12" s="126">
        <f>F12/C12*100%</f>
        <v>2.9067534107058642E-2</v>
      </c>
      <c r="F12" s="126">
        <f>F13+F64+F49+F55</f>
        <v>586844600</v>
      </c>
      <c r="G12" s="126">
        <f>H12</f>
        <v>2.9067534107058641</v>
      </c>
      <c r="H12" s="126">
        <f>F12/C12*100</f>
        <v>2.9067534107058641</v>
      </c>
      <c r="I12" s="126">
        <f>E12-H12</f>
        <v>-2.8776858765988056</v>
      </c>
      <c r="J12" s="126">
        <f>J13+J64+J49+J55</f>
        <v>19602160695</v>
      </c>
      <c r="K12" s="146">
        <f>J12/C12*100</f>
        <v>97.093246589294139</v>
      </c>
      <c r="L12" s="128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4.244819582090327E-2</v>
      </c>
      <c r="E13" s="57">
        <f>F13/C13*100%</f>
        <v>4.244819582090327E-2</v>
      </c>
      <c r="F13" s="57">
        <f t="shared" si="1"/>
        <v>586844600</v>
      </c>
      <c r="G13" s="57">
        <f>H13</f>
        <v>4.2448195820903267</v>
      </c>
      <c r="H13" s="57">
        <f>F13/C13*100</f>
        <v>4.2448195820903267</v>
      </c>
      <c r="I13" s="57">
        <f>E13-H13</f>
        <v>-4.2023713862694239</v>
      </c>
      <c r="J13" s="59">
        <f>C13-F13</f>
        <v>13238115181</v>
      </c>
      <c r="K13" s="58">
        <f>J13/C13*100</f>
        <v>95.755180417909671</v>
      </c>
      <c r="L13" s="58">
        <f>L14+L21+L25+L27+L36+L39+L43</f>
        <v>0</v>
      </c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H14" si="2">SUM(C15:C20)</f>
        <v>140773000</v>
      </c>
      <c r="D14" s="38">
        <f t="shared" si="2"/>
        <v>0</v>
      </c>
      <c r="E14" s="38">
        <f t="shared" si="2"/>
        <v>0</v>
      </c>
      <c r="F14" s="36">
        <f t="shared" si="2"/>
        <v>0</v>
      </c>
      <c r="G14" s="90">
        <f t="shared" si="2"/>
        <v>0</v>
      </c>
      <c r="H14" s="90">
        <f t="shared" si="2"/>
        <v>0</v>
      </c>
      <c r="I14" s="99">
        <f>E14-H14</f>
        <v>0</v>
      </c>
      <c r="J14" s="52">
        <f>C14-F14</f>
        <v>140773000</v>
      </c>
      <c r="K14" s="51">
        <f>J14/C14*100</f>
        <v>100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0</v>
      </c>
      <c r="E15" s="11">
        <f>F15/C15*100%</f>
        <v>0</v>
      </c>
      <c r="F15" s="100">
        <v>0</v>
      </c>
      <c r="G15" s="101">
        <f>H15</f>
        <v>0</v>
      </c>
      <c r="H15" s="101">
        <f>F15/C15*100</f>
        <v>0</v>
      </c>
      <c r="I15" s="102">
        <f>H15-E15</f>
        <v>0</v>
      </c>
      <c r="J15" s="89">
        <f t="shared" ref="J15:J68" si="3">C15-F15</f>
        <v>76708000</v>
      </c>
      <c r="K15" s="12">
        <f>J15/C15*100</f>
        <v>100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68" si="9">J16/C16*100</f>
        <v>100</v>
      </c>
      <c r="L16" s="13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13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0</v>
      </c>
      <c r="E18" s="11">
        <f t="shared" si="5"/>
        <v>0</v>
      </c>
      <c r="F18" s="100">
        <v>0</v>
      </c>
      <c r="G18" s="101">
        <f t="shared" si="6"/>
        <v>0</v>
      </c>
      <c r="H18" s="101">
        <f t="shared" si="7"/>
        <v>0</v>
      </c>
      <c r="I18" s="102">
        <f t="shared" si="8"/>
        <v>0</v>
      </c>
      <c r="J18" s="89">
        <f t="shared" si="3"/>
        <v>7350000</v>
      </c>
      <c r="K18" s="12">
        <f t="shared" si="9"/>
        <v>100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13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13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5.5717914208328008E-2</v>
      </c>
      <c r="E21" s="38">
        <f>SUM(E22:E24)</f>
        <v>5.5717914208328008E-2</v>
      </c>
      <c r="F21" s="36">
        <f>SUM(F22:F24)</f>
        <v>586844600</v>
      </c>
      <c r="G21" s="90">
        <f t="shared" si="6"/>
        <v>5.5717914208328008</v>
      </c>
      <c r="H21" s="90">
        <f>SUM(H22:H24)</f>
        <v>5.5717914208328008</v>
      </c>
      <c r="I21" s="99">
        <f>E21-H21</f>
        <v>-5.5160735066244726</v>
      </c>
      <c r="J21" s="52">
        <f t="shared" si="3"/>
        <v>9994442662</v>
      </c>
      <c r="K21" s="51">
        <f t="shared" si="9"/>
        <v>94.453939436012632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5.5717914208328008E-2</v>
      </c>
      <c r="E22" s="85">
        <f>F22/C22*100%</f>
        <v>5.5717914208328008E-2</v>
      </c>
      <c r="F22" s="103">
        <v>586844600</v>
      </c>
      <c r="G22" s="104">
        <f>H22</f>
        <v>5.5717914208328008</v>
      </c>
      <c r="H22" s="104">
        <f>F22/C22*100</f>
        <v>5.5717914208328008</v>
      </c>
      <c r="I22" s="105">
        <f>E22-H22</f>
        <v>-5.5160735066244726</v>
      </c>
      <c r="J22" s="89">
        <f t="shared" si="3"/>
        <v>9945577662</v>
      </c>
      <c r="K22" s="12">
        <f t="shared" si="9"/>
        <v>94.42820857916719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13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</v>
      </c>
      <c r="E24" s="85">
        <f t="shared" si="11"/>
        <v>0</v>
      </c>
      <c r="F24" s="103">
        <v>0</v>
      </c>
      <c r="G24" s="104">
        <f t="shared" si="12"/>
        <v>0</v>
      </c>
      <c r="H24" s="104">
        <f t="shared" si="13"/>
        <v>0</v>
      </c>
      <c r="I24" s="105">
        <f t="shared" si="14"/>
        <v>0</v>
      </c>
      <c r="J24" s="89">
        <f t="shared" si="3"/>
        <v>34375000</v>
      </c>
      <c r="K24" s="12">
        <f t="shared" si="9"/>
        <v>100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</v>
      </c>
      <c r="E25" s="38">
        <f>E26</f>
        <v>0</v>
      </c>
      <c r="F25" s="36">
        <f>F26</f>
        <v>0</v>
      </c>
      <c r="G25" s="90">
        <f>H25</f>
        <v>0</v>
      </c>
      <c r="H25" s="90">
        <f>SUM(H26)</f>
        <v>0</v>
      </c>
      <c r="I25" s="99">
        <f>E25-H25</f>
        <v>0</v>
      </c>
      <c r="J25" s="52">
        <f t="shared" si="3"/>
        <v>22520000</v>
      </c>
      <c r="K25" s="51">
        <f t="shared" si="9"/>
        <v>100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1">
        <f>E26</f>
        <v>0</v>
      </c>
      <c r="E26" s="11">
        <v>0</v>
      </c>
      <c r="F26" s="100">
        <v>0</v>
      </c>
      <c r="G26" s="101">
        <f>H26</f>
        <v>0</v>
      </c>
      <c r="H26" s="101">
        <f>F26/C26*100</f>
        <v>0</v>
      </c>
      <c r="I26" s="102">
        <f>E26-H26</f>
        <v>0</v>
      </c>
      <c r="J26" s="89">
        <f t="shared" si="3"/>
        <v>22520000</v>
      </c>
      <c r="K26" s="12">
        <f t="shared" si="9"/>
        <v>100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SUM(D28:D35)</f>
        <v>0</v>
      </c>
      <c r="E27" s="38">
        <f>SUM(E28:E35)</f>
        <v>0</v>
      </c>
      <c r="F27" s="36">
        <f>SUM(F28:F35)</f>
        <v>0</v>
      </c>
      <c r="G27" s="90">
        <f t="shared" ref="G27:G35" si="15">H27</f>
        <v>0</v>
      </c>
      <c r="H27" s="90">
        <f>SUM(H28:H35)</f>
        <v>0</v>
      </c>
      <c r="I27" s="99">
        <f>E27-H27</f>
        <v>0</v>
      </c>
      <c r="J27" s="52">
        <f t="shared" si="3"/>
        <v>835391786</v>
      </c>
      <c r="K27" s="51">
        <f t="shared" si="9"/>
        <v>100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</v>
      </c>
      <c r="E28" s="14">
        <f>F28/C28*100%</f>
        <v>0</v>
      </c>
      <c r="F28" s="106"/>
      <c r="G28" s="101">
        <f t="shared" si="15"/>
        <v>0</v>
      </c>
      <c r="H28" s="101">
        <f t="shared" ref="H28:H35" si="16">F28/C28*100</f>
        <v>0</v>
      </c>
      <c r="I28" s="102">
        <f>E28-H28</f>
        <v>0</v>
      </c>
      <c r="J28" s="89">
        <f t="shared" si="3"/>
        <v>40488069</v>
      </c>
      <c r="K28" s="12">
        <f t="shared" si="9"/>
        <v>100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</v>
      </c>
      <c r="E29" s="14">
        <f t="shared" ref="E29:E35" si="18">F29/C29*100%</f>
        <v>0</v>
      </c>
      <c r="F29" s="106">
        <v>0</v>
      </c>
      <c r="G29" s="101">
        <f t="shared" si="15"/>
        <v>0</v>
      </c>
      <c r="H29" s="101">
        <f t="shared" si="16"/>
        <v>0</v>
      </c>
      <c r="I29" s="102">
        <f t="shared" ref="I29:I35" si="19">E29-H29</f>
        <v>0</v>
      </c>
      <c r="J29" s="89">
        <f t="shared" si="3"/>
        <v>163290789</v>
      </c>
      <c r="K29" s="12">
        <f t="shared" si="9"/>
        <v>100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</v>
      </c>
      <c r="E30" s="14">
        <f t="shared" si="18"/>
        <v>0</v>
      </c>
      <c r="F30" s="106"/>
      <c r="G30" s="101"/>
      <c r="H30" s="101"/>
      <c r="I30" s="102"/>
      <c r="J30" s="89"/>
      <c r="K30" s="12"/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</v>
      </c>
      <c r="E31" s="14">
        <f t="shared" si="18"/>
        <v>0</v>
      </c>
      <c r="F31" s="106">
        <v>0</v>
      </c>
      <c r="G31" s="101">
        <f t="shared" si="15"/>
        <v>0</v>
      </c>
      <c r="H31" s="101">
        <f t="shared" si="16"/>
        <v>0</v>
      </c>
      <c r="I31" s="102">
        <f t="shared" si="19"/>
        <v>0</v>
      </c>
      <c r="J31" s="89">
        <f t="shared" si="3"/>
        <v>111757000</v>
      </c>
      <c r="K31" s="12">
        <f t="shared" si="9"/>
        <v>100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</v>
      </c>
      <c r="E32" s="14">
        <f t="shared" si="18"/>
        <v>0</v>
      </c>
      <c r="F32" s="106"/>
      <c r="G32" s="101">
        <f t="shared" si="15"/>
        <v>0</v>
      </c>
      <c r="H32" s="101">
        <f t="shared" si="16"/>
        <v>0</v>
      </c>
      <c r="I32" s="102">
        <f t="shared" si="19"/>
        <v>0</v>
      </c>
      <c r="J32" s="89">
        <f t="shared" si="3"/>
        <v>91327220</v>
      </c>
      <c r="K32" s="12">
        <f t="shared" si="9"/>
        <v>100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</v>
      </c>
      <c r="E33" s="14">
        <f t="shared" si="18"/>
        <v>0</v>
      </c>
      <c r="F33" s="106"/>
      <c r="G33" s="101">
        <f t="shared" si="15"/>
        <v>0</v>
      </c>
      <c r="H33" s="101">
        <f t="shared" si="16"/>
        <v>0</v>
      </c>
      <c r="I33" s="102">
        <f t="shared" si="19"/>
        <v>0</v>
      </c>
      <c r="J33" s="89">
        <f t="shared" si="3"/>
        <v>57195015</v>
      </c>
      <c r="K33" s="12">
        <f t="shared" si="9"/>
        <v>100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</v>
      </c>
      <c r="E34" s="14">
        <f t="shared" si="18"/>
        <v>0</v>
      </c>
      <c r="F34" s="106">
        <v>0</v>
      </c>
      <c r="G34" s="101">
        <f t="shared" si="15"/>
        <v>0</v>
      </c>
      <c r="H34" s="101">
        <f t="shared" si="16"/>
        <v>0</v>
      </c>
      <c r="I34" s="102">
        <f t="shared" si="19"/>
        <v>0</v>
      </c>
      <c r="J34" s="89">
        <f t="shared" si="3"/>
        <v>107700000</v>
      </c>
      <c r="K34" s="12">
        <f t="shared" si="9"/>
        <v>100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</v>
      </c>
      <c r="E35" s="14">
        <f t="shared" si="18"/>
        <v>0</v>
      </c>
      <c r="F35" s="106"/>
      <c r="G35" s="101">
        <f t="shared" si="15"/>
        <v>0</v>
      </c>
      <c r="H35" s="101">
        <f t="shared" si="16"/>
        <v>0</v>
      </c>
      <c r="I35" s="102">
        <f t="shared" si="19"/>
        <v>0</v>
      </c>
      <c r="J35" s="89">
        <f t="shared" si="3"/>
        <v>180125000</v>
      </c>
      <c r="K35" s="12">
        <f t="shared" si="9"/>
        <v>100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 t="shared" ref="D36:I36" si="20">SUM(D38:D38)</f>
        <v>0</v>
      </c>
      <c r="E36" s="38">
        <f t="shared" si="20"/>
        <v>0</v>
      </c>
      <c r="F36" s="36">
        <f t="shared" si="20"/>
        <v>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52">
        <f t="shared" si="3"/>
        <v>135067517</v>
      </c>
      <c r="K36" s="51">
        <f t="shared" si="9"/>
        <v>100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0</v>
      </c>
      <c r="E37" s="133">
        <f>F37/C37*100%</f>
        <v>0</v>
      </c>
      <c r="F37" s="134">
        <v>0</v>
      </c>
      <c r="G37" s="134">
        <f>H37</f>
        <v>0</v>
      </c>
      <c r="H37" s="134">
        <f>F37/C37*100</f>
        <v>0</v>
      </c>
      <c r="I37" s="134">
        <f>E37-H37</f>
        <v>0</v>
      </c>
      <c r="J37" s="122">
        <f>C37-F37</f>
        <v>81000000</v>
      </c>
      <c r="K37" s="123">
        <f>J37/C37*100</f>
        <v>100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0</v>
      </c>
      <c r="E39" s="38">
        <f>SUM(E40:E42)</f>
        <v>0</v>
      </c>
      <c r="F39" s="36">
        <f>SUM(F40:F42)</f>
        <v>0</v>
      </c>
      <c r="G39" s="90">
        <f t="shared" ref="G39:G42" si="21">H39</f>
        <v>0</v>
      </c>
      <c r="H39" s="90">
        <f>SUM(H40:H42)</f>
        <v>0</v>
      </c>
      <c r="I39" s="99">
        <f>E39-H39</f>
        <v>0</v>
      </c>
      <c r="J39" s="52">
        <f t="shared" si="3"/>
        <v>1604692216</v>
      </c>
      <c r="K39" s="51">
        <f t="shared" si="9"/>
        <v>100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v>0</v>
      </c>
      <c r="E40" s="14">
        <f>F40/C40*100%</f>
        <v>0</v>
      </c>
      <c r="F40" s="106">
        <v>0</v>
      </c>
      <c r="G40" s="104">
        <f t="shared" si="21"/>
        <v>0</v>
      </c>
      <c r="H40" s="104">
        <f t="shared" ref="H40:H42" si="22">F40/C40*100</f>
        <v>0</v>
      </c>
      <c r="I40" s="105">
        <f t="shared" ref="I40:I42" si="23">E40-H40</f>
        <v>0</v>
      </c>
      <c r="J40" s="89">
        <f t="shared" si="3"/>
        <v>39341496</v>
      </c>
      <c r="K40" s="12">
        <f t="shared" si="9"/>
        <v>100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" si="24">E41</f>
        <v>0</v>
      </c>
      <c r="E41" s="14">
        <f t="shared" ref="E41:E42" si="25">F41/C41*100%</f>
        <v>0</v>
      </c>
      <c r="F41" s="106">
        <v>0</v>
      </c>
      <c r="G41" s="104">
        <f t="shared" si="21"/>
        <v>0</v>
      </c>
      <c r="H41" s="104">
        <f t="shared" si="22"/>
        <v>0</v>
      </c>
      <c r="I41" s="105">
        <f t="shared" si="23"/>
        <v>0</v>
      </c>
      <c r="J41" s="89">
        <f t="shared" si="3"/>
        <v>532950720</v>
      </c>
      <c r="K41" s="12">
        <f t="shared" si="9"/>
        <v>100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v>0</v>
      </c>
      <c r="E42" s="14">
        <f t="shared" si="25"/>
        <v>0</v>
      </c>
      <c r="F42" s="106">
        <v>0</v>
      </c>
      <c r="G42" s="104">
        <f t="shared" si="21"/>
        <v>0</v>
      </c>
      <c r="H42" s="104">
        <f t="shared" si="22"/>
        <v>0</v>
      </c>
      <c r="I42" s="105">
        <f t="shared" si="23"/>
        <v>0</v>
      </c>
      <c r="J42" s="89">
        <f t="shared" si="3"/>
        <v>1032400000</v>
      </c>
      <c r="K42" s="12">
        <f t="shared" si="9"/>
        <v>100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SUM(D44:D47)</f>
        <v>0</v>
      </c>
      <c r="E43" s="39">
        <f>SUM(E44:E47)</f>
        <v>0</v>
      </c>
      <c r="F43" s="37">
        <f>SUM(F44:F48)</f>
        <v>0</v>
      </c>
      <c r="G43" s="91">
        <f>SUM(G44:G61)</f>
        <v>0</v>
      </c>
      <c r="H43" s="91">
        <f>SUM(H44:H61)</f>
        <v>0</v>
      </c>
      <c r="I43" s="91">
        <f>E43-H43</f>
        <v>0</v>
      </c>
      <c r="J43" s="52">
        <f t="shared" si="3"/>
        <v>505228000</v>
      </c>
      <c r="K43" s="51">
        <f t="shared" si="9"/>
        <v>100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</v>
      </c>
      <c r="E44" s="14">
        <f>F44/C44*100%</f>
        <v>0</v>
      </c>
      <c r="F44" s="107">
        <v>0</v>
      </c>
      <c r="G44" s="104">
        <f t="shared" ref="G44:G48" si="26">H44</f>
        <v>0</v>
      </c>
      <c r="H44" s="104">
        <f t="shared" ref="H44:H48" si="27">F44/C44*100</f>
        <v>0</v>
      </c>
      <c r="I44" s="118">
        <f t="shared" ref="I44:I47" si="28">E44-H44</f>
        <v>0</v>
      </c>
      <c r="J44" s="89">
        <f t="shared" si="3"/>
        <v>206830000</v>
      </c>
      <c r="K44" s="12">
        <f t="shared" si="9"/>
        <v>100</v>
      </c>
      <c r="L44" s="16"/>
    </row>
    <row r="45" spans="1:14" ht="37.15" customHeight="1">
      <c r="A45" s="15"/>
      <c r="B45" s="136" t="s">
        <v>73</v>
      </c>
      <c r="C45" s="24">
        <v>9240000</v>
      </c>
      <c r="D45" s="14">
        <f t="shared" ref="D45:D48" si="29">E45</f>
        <v>0</v>
      </c>
      <c r="E45" s="14">
        <f t="shared" ref="E45:E48" si="30">F45/C45*100%</f>
        <v>0</v>
      </c>
      <c r="F45" s="107">
        <v>0</v>
      </c>
      <c r="G45" s="104">
        <f t="shared" si="26"/>
        <v>0</v>
      </c>
      <c r="H45" s="104">
        <f t="shared" si="27"/>
        <v>0</v>
      </c>
      <c r="I45" s="118">
        <f t="shared" si="28"/>
        <v>0</v>
      </c>
      <c r="J45" s="89">
        <f t="shared" si="3"/>
        <v>9240000</v>
      </c>
      <c r="K45" s="12">
        <f t="shared" si="9"/>
        <v>100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</v>
      </c>
      <c r="E46" s="14">
        <f t="shared" si="30"/>
        <v>0</v>
      </c>
      <c r="F46" s="107">
        <v>0</v>
      </c>
      <c r="G46" s="104">
        <f t="shared" si="26"/>
        <v>0</v>
      </c>
      <c r="H46" s="104">
        <f t="shared" si="27"/>
        <v>0</v>
      </c>
      <c r="I46" s="105">
        <f t="shared" si="28"/>
        <v>0</v>
      </c>
      <c r="J46" s="89">
        <f t="shared" si="3"/>
        <v>118970000</v>
      </c>
      <c r="K46" s="12">
        <f t="shared" si="9"/>
        <v>100</v>
      </c>
      <c r="L46" s="16"/>
    </row>
    <row r="47" spans="1:14" ht="19.149999999999999" customHeight="1">
      <c r="A47" s="15"/>
      <c r="B47" s="63" t="s">
        <v>42</v>
      </c>
      <c r="C47" s="24">
        <v>80708000</v>
      </c>
      <c r="D47" s="14">
        <f t="shared" si="29"/>
        <v>0</v>
      </c>
      <c r="E47" s="14">
        <f t="shared" si="30"/>
        <v>0</v>
      </c>
      <c r="F47" s="107">
        <v>0</v>
      </c>
      <c r="G47" s="104">
        <f t="shared" si="26"/>
        <v>0</v>
      </c>
      <c r="H47" s="104">
        <f t="shared" si="27"/>
        <v>0</v>
      </c>
      <c r="I47" s="105">
        <f t="shared" si="28"/>
        <v>0</v>
      </c>
      <c r="J47" s="89">
        <f t="shared" si="3"/>
        <v>80708000</v>
      </c>
      <c r="K47" s="12">
        <f t="shared" si="9"/>
        <v>100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</v>
      </c>
      <c r="E48" s="14">
        <f t="shared" si="30"/>
        <v>0</v>
      </c>
      <c r="F48" s="107">
        <v>0</v>
      </c>
      <c r="G48" s="104">
        <f t="shared" si="26"/>
        <v>0</v>
      </c>
      <c r="H48" s="104">
        <f t="shared" si="27"/>
        <v>0</v>
      </c>
      <c r="I48" s="105">
        <f>E48-H48</f>
        <v>0</v>
      </c>
      <c r="J48" s="89">
        <f t="shared" si="3"/>
        <v>89480000</v>
      </c>
      <c r="K48" s="12">
        <f t="shared" si="9"/>
        <v>100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</v>
      </c>
      <c r="E49" s="67">
        <f>E50</f>
        <v>0</v>
      </c>
      <c r="F49" s="67">
        <f>F50+F52</f>
        <v>0</v>
      </c>
      <c r="G49" s="67">
        <f t="shared" ref="G49:I49" si="31">G50</f>
        <v>0</v>
      </c>
      <c r="H49" s="67">
        <f t="shared" si="31"/>
        <v>0</v>
      </c>
      <c r="I49" s="67">
        <f t="shared" si="31"/>
        <v>0</v>
      </c>
      <c r="J49" s="59">
        <f t="shared" si="3"/>
        <v>198012940</v>
      </c>
      <c r="K49" s="58">
        <f t="shared" si="9"/>
        <v>100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</v>
      </c>
      <c r="E50" s="109">
        <f>SUM(E51:E51)</f>
        <v>0</v>
      </c>
      <c r="F50" s="110">
        <f>SUM(F51)</f>
        <v>0</v>
      </c>
      <c r="G50" s="110">
        <f t="shared" ref="G50:I50" si="32">SUM(G51)</f>
        <v>0</v>
      </c>
      <c r="H50" s="110">
        <f t="shared" si="32"/>
        <v>0</v>
      </c>
      <c r="I50" s="110">
        <f t="shared" si="32"/>
        <v>0</v>
      </c>
      <c r="J50" s="52">
        <f t="shared" si="3"/>
        <v>49535000</v>
      </c>
      <c r="K50" s="51">
        <f t="shared" si="9"/>
        <v>100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</v>
      </c>
      <c r="E51" s="108">
        <f>F51/C51*100%</f>
        <v>0</v>
      </c>
      <c r="F51" s="107">
        <v>0</v>
      </c>
      <c r="G51" s="111">
        <f>H51</f>
        <v>0</v>
      </c>
      <c r="H51" s="111">
        <f>F51/C51*100</f>
        <v>0</v>
      </c>
      <c r="I51" s="108">
        <f>E51-H51</f>
        <v>0</v>
      </c>
      <c r="J51" s="89">
        <f t="shared" si="3"/>
        <v>49535000</v>
      </c>
      <c r="K51" s="12">
        <f t="shared" si="9"/>
        <v>100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SUM(D53)</f>
        <v>0</v>
      </c>
      <c r="E52" s="39">
        <f>E53</f>
        <v>0</v>
      </c>
      <c r="F52" s="37">
        <f>SUM(F53:F54)</f>
        <v>0</v>
      </c>
      <c r="G52" s="37">
        <f t="shared" ref="G52:I52" si="34">SUM(G53:G54)</f>
        <v>0</v>
      </c>
      <c r="H52" s="37">
        <f t="shared" si="34"/>
        <v>0</v>
      </c>
      <c r="I52" s="37">
        <f t="shared" si="34"/>
        <v>0</v>
      </c>
      <c r="J52" s="52">
        <f t="shared" si="3"/>
        <v>148477940</v>
      </c>
      <c r="K52" s="51">
        <f t="shared" si="9"/>
        <v>100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16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0</v>
      </c>
      <c r="E54" s="108">
        <f>F54/C54*100%</f>
        <v>0</v>
      </c>
      <c r="F54" s="107">
        <v>0</v>
      </c>
      <c r="G54" s="111">
        <f>H54</f>
        <v>0</v>
      </c>
      <c r="H54" s="111">
        <f>F54/C54*100</f>
        <v>0</v>
      </c>
      <c r="I54" s="108">
        <f>E54-H54</f>
        <v>0</v>
      </c>
      <c r="J54" s="89">
        <f t="shared" si="3"/>
        <v>132000000</v>
      </c>
      <c r="K54" s="12">
        <f t="shared" si="9"/>
        <v>100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</v>
      </c>
      <c r="E55" s="79">
        <f>E56</f>
        <v>0</v>
      </c>
      <c r="F55" s="113">
        <f>F56+F60</f>
        <v>0</v>
      </c>
      <c r="G55" s="113">
        <f t="shared" ref="G55:I55" si="36">G56+G60</f>
        <v>0</v>
      </c>
      <c r="H55" s="113">
        <f t="shared" si="36"/>
        <v>0</v>
      </c>
      <c r="I55" s="113">
        <f t="shared" si="36"/>
        <v>0</v>
      </c>
      <c r="J55" s="59">
        <f t="shared" ref="J55" si="37">C55-F55</f>
        <v>5865401574</v>
      </c>
      <c r="K55" s="58">
        <f t="shared" ref="K55:K59" si="38">J55/C55*100</f>
        <v>100</v>
      </c>
      <c r="L55" s="77"/>
    </row>
    <row r="56" spans="1:14" ht="29.45" customHeight="1">
      <c r="A56" s="69" t="s">
        <v>91</v>
      </c>
      <c r="B56" s="138" t="s">
        <v>75</v>
      </c>
      <c r="C56" s="139">
        <f>C57+C58+C59</f>
        <v>5786321644</v>
      </c>
      <c r="D56" s="114">
        <f>D57+D58+D59</f>
        <v>0</v>
      </c>
      <c r="E56" s="114">
        <f>E57+E58+E59</f>
        <v>0</v>
      </c>
      <c r="F56" s="140">
        <f>F57+F58+F59</f>
        <v>0</v>
      </c>
      <c r="G56" s="140">
        <f t="shared" ref="G56:I56" si="39">G57+G58+G59</f>
        <v>0</v>
      </c>
      <c r="H56" s="140">
        <f t="shared" si="39"/>
        <v>0</v>
      </c>
      <c r="I56" s="140">
        <f t="shared" si="39"/>
        <v>0</v>
      </c>
      <c r="J56" s="52">
        <f>C56-F56</f>
        <v>5786321644</v>
      </c>
      <c r="K56" s="51">
        <f t="shared" si="38"/>
        <v>100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</v>
      </c>
      <c r="E57" s="108">
        <f>F57/C57*100%</f>
        <v>0</v>
      </c>
      <c r="F57" s="107">
        <v>0</v>
      </c>
      <c r="G57" s="111">
        <f>H57</f>
        <v>0</v>
      </c>
      <c r="H57" s="111">
        <f>F57*C57/100</f>
        <v>0</v>
      </c>
      <c r="I57" s="108">
        <f>E57-H57</f>
        <v>0</v>
      </c>
      <c r="J57" s="122">
        <f>C57-F57</f>
        <v>167418966</v>
      </c>
      <c r="K57" s="123">
        <f t="shared" si="38"/>
        <v>100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40">E58</f>
        <v>0</v>
      </c>
      <c r="E58" s="108">
        <f t="shared" ref="E58:E59" si="41">F58/C58*100%</f>
        <v>0</v>
      </c>
      <c r="F58" s="107">
        <v>0</v>
      </c>
      <c r="G58" s="111">
        <f t="shared" ref="G58:G59" si="42">H58</f>
        <v>0</v>
      </c>
      <c r="H58" s="111">
        <f t="shared" ref="H58:H59" si="43">F58*C58/100</f>
        <v>0</v>
      </c>
      <c r="I58" s="108">
        <f t="shared" ref="I58:I59" si="44">E58-H58</f>
        <v>0</v>
      </c>
      <c r="J58" s="122">
        <f t="shared" ref="J58:J59" si="45">C58-F58</f>
        <v>1125522789</v>
      </c>
      <c r="K58" s="123">
        <f t="shared" si="38"/>
        <v>100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40"/>
        <v>0</v>
      </c>
      <c r="E59" s="108">
        <f t="shared" si="41"/>
        <v>0</v>
      </c>
      <c r="F59" s="107">
        <v>0</v>
      </c>
      <c r="G59" s="111">
        <f t="shared" si="42"/>
        <v>0</v>
      </c>
      <c r="H59" s="111">
        <f t="shared" si="43"/>
        <v>0</v>
      </c>
      <c r="I59" s="108">
        <f t="shared" si="44"/>
        <v>0</v>
      </c>
      <c r="J59" s="122">
        <f t="shared" si="45"/>
        <v>4493379889</v>
      </c>
      <c r="K59" s="123">
        <f t="shared" si="38"/>
        <v>100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6">F60</f>
        <v>0</v>
      </c>
      <c r="H60" s="109">
        <f t="shared" si="46"/>
        <v>0</v>
      </c>
      <c r="I60" s="109">
        <f t="shared" si="46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7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16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7"/>
        <v>0</v>
      </c>
      <c r="E62" s="108">
        <f t="shared" ref="E62:E63" si="48">F62/C62*100%</f>
        <v>0</v>
      </c>
      <c r="F62" s="107">
        <v>0</v>
      </c>
      <c r="G62" s="111">
        <f t="shared" ref="G62:G63" si="49">H62</f>
        <v>0</v>
      </c>
      <c r="H62" s="111">
        <f t="shared" ref="H62:H63" si="50">F62/C62*100</f>
        <v>0</v>
      </c>
      <c r="I62" s="108">
        <f t="shared" ref="I62:I63" si="51">E62-H62</f>
        <v>0</v>
      </c>
      <c r="J62" s="89">
        <f t="shared" si="3"/>
        <v>15600000</v>
      </c>
      <c r="K62" s="12">
        <f t="shared" si="9"/>
        <v>100</v>
      </c>
      <c r="L62" s="18"/>
    </row>
    <row r="63" spans="1:14" ht="19.149999999999999" customHeight="1">
      <c r="A63" s="18"/>
      <c r="B63" s="34" t="s">
        <v>70</v>
      </c>
      <c r="C63" s="20">
        <v>24109818</v>
      </c>
      <c r="D63" s="14">
        <f t="shared" si="47"/>
        <v>0</v>
      </c>
      <c r="E63" s="108">
        <f t="shared" si="48"/>
        <v>0</v>
      </c>
      <c r="F63" s="107">
        <v>0</v>
      </c>
      <c r="G63" s="111">
        <f t="shared" si="49"/>
        <v>0</v>
      </c>
      <c r="H63" s="111">
        <f t="shared" si="50"/>
        <v>0</v>
      </c>
      <c r="I63" s="108">
        <f t="shared" si="51"/>
        <v>0</v>
      </c>
      <c r="J63" s="89">
        <f t="shared" si="3"/>
        <v>24109818</v>
      </c>
      <c r="K63" s="12">
        <f t="shared" si="9"/>
        <v>100</v>
      </c>
      <c r="L63" s="18"/>
    </row>
    <row r="64" spans="1:14" s="27" customFormat="1" ht="19.149999999999999" customHeight="1">
      <c r="A64" s="65" t="s">
        <v>82</v>
      </c>
      <c r="B64" s="76" t="s">
        <v>51</v>
      </c>
      <c r="C64" s="78">
        <f>C65</f>
        <v>300631000</v>
      </c>
      <c r="D64" s="79">
        <f>D65</f>
        <v>0</v>
      </c>
      <c r="E64" s="79"/>
      <c r="F64" s="80"/>
      <c r="G64" s="92"/>
      <c r="H64" s="92"/>
      <c r="I64" s="81"/>
      <c r="J64" s="59">
        <f t="shared" si="3"/>
        <v>300631000</v>
      </c>
      <c r="K64" s="58">
        <f t="shared" si="9"/>
        <v>100</v>
      </c>
      <c r="L64" s="82"/>
    </row>
    <row r="65" spans="1:12" ht="37.15" customHeight="1">
      <c r="A65" s="70" t="s">
        <v>93</v>
      </c>
      <c r="B65" s="119" t="s">
        <v>71</v>
      </c>
      <c r="C65" s="84">
        <f>SUM(C66:C68)</f>
        <v>300631000</v>
      </c>
      <c r="D65" s="114">
        <f>SUM(D66:D68)</f>
        <v>0</v>
      </c>
      <c r="E65" s="114">
        <f>SUM(E66:E68)</f>
        <v>0</v>
      </c>
      <c r="F65" s="114">
        <f>SUM(F66:F68)</f>
        <v>0</v>
      </c>
      <c r="G65" s="114">
        <f t="shared" ref="G65:I65" si="52">SUM(G66:G68)</f>
        <v>0</v>
      </c>
      <c r="H65" s="114">
        <f t="shared" si="52"/>
        <v>0</v>
      </c>
      <c r="I65" s="114">
        <f t="shared" si="52"/>
        <v>0</v>
      </c>
      <c r="J65" s="52">
        <f t="shared" si="3"/>
        <v>300631000</v>
      </c>
      <c r="K65" s="51">
        <f t="shared" si="9"/>
        <v>100</v>
      </c>
      <c r="L65" s="83"/>
    </row>
    <row r="66" spans="1:12" ht="76.150000000000006" customHeight="1">
      <c r="A66" s="43"/>
      <c r="B66" s="64" t="s">
        <v>52</v>
      </c>
      <c r="C66" s="26">
        <v>99126000</v>
      </c>
      <c r="D66" s="14">
        <f t="shared" ref="D66:D68" si="53">E66</f>
        <v>0</v>
      </c>
      <c r="E66" s="108">
        <f>F66/C66*100%</f>
        <v>0</v>
      </c>
      <c r="F66" s="115">
        <v>0</v>
      </c>
      <c r="G66" s="116">
        <f>H66</f>
        <v>0</v>
      </c>
      <c r="H66" s="116">
        <f>F66/C66*100</f>
        <v>0</v>
      </c>
      <c r="I66" s="108">
        <f>E66-H66</f>
        <v>0</v>
      </c>
      <c r="J66" s="89">
        <f t="shared" si="3"/>
        <v>99126000</v>
      </c>
      <c r="K66" s="12">
        <f t="shared" si="9"/>
        <v>100</v>
      </c>
      <c r="L66" s="19"/>
    </row>
    <row r="67" spans="1:12" ht="48" customHeight="1">
      <c r="A67" s="41"/>
      <c r="B67" s="64" t="s">
        <v>53</v>
      </c>
      <c r="C67" s="26">
        <v>163575000</v>
      </c>
      <c r="D67" s="14">
        <f t="shared" si="53"/>
        <v>0</v>
      </c>
      <c r="E67" s="108">
        <f t="shared" ref="E67:E68" si="54">F67/C67*100%</f>
        <v>0</v>
      </c>
      <c r="F67" s="115">
        <v>0</v>
      </c>
      <c r="G67" s="116">
        <f t="shared" ref="G67:G68" si="55">H67</f>
        <v>0</v>
      </c>
      <c r="H67" s="116">
        <f t="shared" ref="H67:H68" si="56">F67/C67*100</f>
        <v>0</v>
      </c>
      <c r="I67" s="108">
        <f t="shared" ref="I67:I68" si="57">E67-H67</f>
        <v>0</v>
      </c>
      <c r="J67" s="89">
        <f t="shared" si="3"/>
        <v>163575000</v>
      </c>
      <c r="K67" s="12">
        <f t="shared" si="9"/>
        <v>100</v>
      </c>
      <c r="L67" s="19"/>
    </row>
    <row r="68" spans="1:12" ht="19.149999999999999" customHeight="1">
      <c r="A68" s="15"/>
      <c r="B68" s="63" t="s">
        <v>54</v>
      </c>
      <c r="C68" s="26">
        <v>37930000</v>
      </c>
      <c r="D68" s="124">
        <f t="shared" si="53"/>
        <v>0</v>
      </c>
      <c r="E68" s="108">
        <f t="shared" si="54"/>
        <v>0</v>
      </c>
      <c r="F68" s="115">
        <v>0</v>
      </c>
      <c r="G68" s="116">
        <f t="shared" si="55"/>
        <v>0</v>
      </c>
      <c r="H68" s="116">
        <f t="shared" si="56"/>
        <v>0</v>
      </c>
      <c r="I68" s="108">
        <f t="shared" si="57"/>
        <v>0</v>
      </c>
      <c r="J68" s="125">
        <f t="shared" si="3"/>
        <v>37930000</v>
      </c>
      <c r="K68" s="7">
        <f t="shared" si="9"/>
        <v>100</v>
      </c>
      <c r="L68" s="19"/>
    </row>
    <row r="69" spans="1:12">
      <c r="G69" s="117"/>
      <c r="H69" s="117"/>
    </row>
    <row r="70" spans="1:12">
      <c r="G70" s="117"/>
      <c r="H70" s="117"/>
    </row>
    <row r="71" spans="1:12">
      <c r="G71" s="117"/>
      <c r="H71" s="117"/>
    </row>
    <row r="72" spans="1:12">
      <c r="G72" s="117"/>
      <c r="H72" s="117"/>
    </row>
    <row r="73" spans="1:12">
      <c r="G73" s="117"/>
      <c r="H73" s="117"/>
    </row>
    <row r="74" spans="1:12">
      <c r="G74" s="117"/>
      <c r="H74" s="117"/>
    </row>
    <row r="75" spans="1:12">
      <c r="G75" s="117"/>
      <c r="H75" s="117"/>
    </row>
    <row r="76" spans="1:12">
      <c r="G76" s="117"/>
      <c r="H76" s="117"/>
    </row>
    <row r="77" spans="1:12">
      <c r="G77" s="117"/>
      <c r="H77" s="117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7:8">
      <c r="G81" s="117"/>
      <c r="H81" s="117"/>
    </row>
    <row r="82" spans="7:8">
      <c r="G82" s="117"/>
      <c r="H82" s="117"/>
    </row>
    <row r="83" spans="7:8">
      <c r="G83" s="117"/>
      <c r="H83" s="117"/>
    </row>
    <row r="84" spans="7:8">
      <c r="G84" s="117"/>
      <c r="H84" s="117"/>
    </row>
    <row r="85" spans="7:8">
      <c r="G85" s="117"/>
      <c r="H85" s="117"/>
    </row>
    <row r="86" spans="7:8">
      <c r="G86" s="117"/>
      <c r="H86" s="117"/>
    </row>
    <row r="87" spans="7:8">
      <c r="G87" s="117"/>
      <c r="H87" s="117"/>
    </row>
    <row r="88" spans="7:8">
      <c r="G88" s="117"/>
      <c r="H88" s="117"/>
    </row>
    <row r="89" spans="7:8">
      <c r="G89" s="117"/>
      <c r="H89" s="117"/>
    </row>
    <row r="90" spans="7:8">
      <c r="G90" s="117"/>
      <c r="H90" s="117"/>
    </row>
    <row r="91" spans="7:8">
      <c r="G91" s="117"/>
      <c r="H91" s="117"/>
    </row>
    <row r="92" spans="7:8">
      <c r="G92" s="117"/>
      <c r="H92" s="117"/>
    </row>
    <row r="93" spans="7:8">
      <c r="G93" s="117"/>
      <c r="H93" s="117"/>
    </row>
    <row r="94" spans="7:8">
      <c r="G94" s="117"/>
      <c r="H94" s="117"/>
    </row>
    <row r="95" spans="7:8">
      <c r="G95" s="117"/>
      <c r="H95" s="117"/>
    </row>
    <row r="96" spans="7:8">
      <c r="G96" s="117"/>
      <c r="H96" s="117"/>
    </row>
    <row r="97" spans="7:8">
      <c r="G97" s="117"/>
      <c r="H97" s="117"/>
    </row>
    <row r="98" spans="7:8">
      <c r="G98" s="117"/>
      <c r="H98" s="117"/>
    </row>
    <row r="99" spans="7:8">
      <c r="G99" s="117"/>
      <c r="H99" s="117"/>
    </row>
    <row r="100" spans="7:8">
      <c r="G100" s="117"/>
      <c r="H100" s="117"/>
    </row>
    <row r="101" spans="7:8">
      <c r="G101" s="117"/>
      <c r="H101" s="117"/>
    </row>
    <row r="102" spans="7:8">
      <c r="G102" s="117"/>
      <c r="H102" s="117"/>
    </row>
    <row r="103" spans="7:8">
      <c r="G103" s="117"/>
      <c r="H103" s="117"/>
    </row>
    <row r="104" spans="7:8">
      <c r="G104" s="117"/>
      <c r="H104" s="117"/>
    </row>
    <row r="105" spans="7:8">
      <c r="G105" s="117"/>
      <c r="H105" s="117"/>
    </row>
    <row r="106" spans="7:8">
      <c r="G106" s="117"/>
      <c r="H106" s="117"/>
    </row>
    <row r="107" spans="7:8">
      <c r="G107" s="117"/>
      <c r="H107" s="117"/>
    </row>
    <row r="108" spans="7:8">
      <c r="G108" s="117"/>
      <c r="H108" s="117"/>
    </row>
    <row r="109" spans="7:8">
      <c r="G109" s="117"/>
      <c r="H109" s="117"/>
    </row>
    <row r="110" spans="7:8">
      <c r="G110" s="117"/>
      <c r="H110" s="117"/>
    </row>
    <row r="111" spans="7:8">
      <c r="G111" s="117"/>
      <c r="H111" s="117"/>
    </row>
    <row r="112" spans="7:8">
      <c r="G112" s="117"/>
      <c r="H112" s="117"/>
    </row>
    <row r="113" spans="7:8">
      <c r="G113" s="117"/>
      <c r="H113" s="117"/>
    </row>
    <row r="114" spans="7:8">
      <c r="G114" s="117"/>
      <c r="H114" s="117"/>
    </row>
    <row r="115" spans="7:8">
      <c r="G115" s="117"/>
      <c r="H115" s="117"/>
    </row>
    <row r="116" spans="7:8">
      <c r="G116" s="117"/>
      <c r="H116" s="117"/>
    </row>
    <row r="117" spans="7:8">
      <c r="G117" s="117"/>
      <c r="H117" s="117"/>
    </row>
    <row r="118" spans="7:8">
      <c r="G118" s="117"/>
      <c r="H118" s="117"/>
    </row>
    <row r="119" spans="7:8">
      <c r="G119" s="117"/>
      <c r="H119" s="117"/>
    </row>
    <row r="120" spans="7:8">
      <c r="G120" s="117"/>
      <c r="H120" s="117"/>
    </row>
    <row r="121" spans="7:8">
      <c r="G121" s="117"/>
      <c r="H121" s="117"/>
    </row>
    <row r="122" spans="7:8">
      <c r="G122" s="117"/>
      <c r="H122" s="117"/>
    </row>
    <row r="123" spans="7:8">
      <c r="G123" s="117"/>
      <c r="H123" s="117"/>
    </row>
    <row r="124" spans="7:8">
      <c r="G124" s="117"/>
      <c r="H124" s="117"/>
    </row>
    <row r="125" spans="7:8">
      <c r="G125" s="117"/>
      <c r="H125" s="117"/>
    </row>
    <row r="126" spans="7:8">
      <c r="G126" s="117"/>
      <c r="H126" s="117"/>
    </row>
    <row r="127" spans="7:8">
      <c r="G127" s="117"/>
      <c r="H127" s="117"/>
    </row>
    <row r="128" spans="7:8">
      <c r="G128" s="117"/>
      <c r="H128" s="117"/>
    </row>
    <row r="129" spans="7:8">
      <c r="G129" s="117"/>
      <c r="H129" s="117"/>
    </row>
    <row r="130" spans="7:8">
      <c r="G130" s="117"/>
      <c r="H130" s="117"/>
    </row>
    <row r="131" spans="7:8">
      <c r="G131" s="117"/>
      <c r="H131" s="117"/>
    </row>
    <row r="132" spans="7:8">
      <c r="G132" s="117"/>
      <c r="H132" s="117"/>
    </row>
    <row r="133" spans="7:8">
      <c r="G133" s="117"/>
      <c r="H133" s="117"/>
    </row>
    <row r="134" spans="7:8">
      <c r="G134" s="117"/>
      <c r="H134" s="117"/>
    </row>
    <row r="135" spans="7:8">
      <c r="G135" s="117"/>
      <c r="H135" s="117"/>
    </row>
    <row r="136" spans="7:8">
      <c r="G136" s="117"/>
      <c r="H136" s="117"/>
    </row>
    <row r="137" spans="7:8">
      <c r="G137" s="117"/>
      <c r="H137" s="117"/>
    </row>
    <row r="138" spans="7:8">
      <c r="G138" s="117"/>
      <c r="H138" s="117"/>
    </row>
    <row r="139" spans="7:8">
      <c r="G139" s="117"/>
      <c r="H139" s="117"/>
    </row>
    <row r="140" spans="7:8">
      <c r="G140" s="117"/>
      <c r="H140" s="117"/>
    </row>
    <row r="141" spans="7:8">
      <c r="G141" s="117"/>
      <c r="H141" s="117"/>
    </row>
    <row r="142" spans="7:8">
      <c r="G142" s="117"/>
      <c r="H142" s="117"/>
    </row>
    <row r="143" spans="7:8">
      <c r="G143" s="117"/>
      <c r="H143" s="117"/>
    </row>
    <row r="144" spans="7:8">
      <c r="G144" s="117"/>
      <c r="H144" s="117"/>
    </row>
    <row r="145" spans="7:8">
      <c r="G145" s="117"/>
      <c r="H145" s="117"/>
    </row>
    <row r="146" spans="7:8">
      <c r="G146" s="117"/>
      <c r="H146" s="117"/>
    </row>
    <row r="147" spans="7:8">
      <c r="G147" s="117"/>
      <c r="H147" s="117"/>
    </row>
    <row r="148" spans="7:8">
      <c r="G148" s="117"/>
      <c r="H148" s="117"/>
    </row>
    <row r="149" spans="7:8">
      <c r="G149" s="117"/>
      <c r="H149" s="117"/>
    </row>
    <row r="150" spans="7:8">
      <c r="G150" s="117"/>
      <c r="H150" s="117"/>
    </row>
    <row r="151" spans="7:8">
      <c r="G151" s="117"/>
      <c r="H151" s="117"/>
    </row>
    <row r="152" spans="7:8">
      <c r="G152" s="117"/>
      <c r="H152" s="117"/>
    </row>
    <row r="153" spans="7:8">
      <c r="G153" s="117"/>
      <c r="H153" s="117"/>
    </row>
    <row r="154" spans="7:8">
      <c r="G154" s="117"/>
      <c r="H154" s="117"/>
    </row>
    <row r="155" spans="7:8">
      <c r="G155" s="117"/>
      <c r="H155" s="117"/>
    </row>
    <row r="156" spans="7:8">
      <c r="G156" s="117"/>
      <c r="H156" s="117"/>
    </row>
    <row r="157" spans="7:8">
      <c r="G157" s="117"/>
      <c r="H157" s="117"/>
    </row>
    <row r="158" spans="7:8">
      <c r="G158" s="117"/>
      <c r="H158" s="117"/>
    </row>
    <row r="159" spans="7:8">
      <c r="G159" s="117"/>
      <c r="H159" s="117"/>
    </row>
    <row r="160" spans="7:8">
      <c r="G160" s="117"/>
      <c r="H160" s="117"/>
    </row>
    <row r="161" spans="7:8">
      <c r="G161" s="117"/>
      <c r="H161" s="117"/>
    </row>
    <row r="162" spans="7:8">
      <c r="G162" s="117"/>
      <c r="H162" s="117"/>
    </row>
    <row r="163" spans="7:8">
      <c r="G163" s="117"/>
      <c r="H163" s="117"/>
    </row>
    <row r="164" spans="7:8">
      <c r="G164" s="117"/>
      <c r="H164" s="117"/>
    </row>
    <row r="165" spans="7:8">
      <c r="G165" s="117"/>
      <c r="H165" s="117"/>
    </row>
    <row r="166" spans="7:8">
      <c r="G166" s="117"/>
      <c r="H166" s="117"/>
    </row>
    <row r="167" spans="7:8">
      <c r="G167" s="117"/>
      <c r="H167" s="117"/>
    </row>
    <row r="168" spans="7:8">
      <c r="G168" s="117"/>
      <c r="H168" s="117"/>
    </row>
    <row r="169" spans="7:8">
      <c r="G169" s="117"/>
      <c r="H169" s="117"/>
    </row>
    <row r="170" spans="7:8">
      <c r="G170" s="117"/>
      <c r="H170" s="117"/>
    </row>
    <row r="171" spans="7:8">
      <c r="G171" s="117"/>
      <c r="H171" s="117"/>
    </row>
    <row r="172" spans="7:8">
      <c r="G172" s="117"/>
      <c r="H172" s="117"/>
    </row>
    <row r="173" spans="7:8">
      <c r="G173" s="117"/>
      <c r="H173" s="117"/>
    </row>
    <row r="174" spans="7:8">
      <c r="G174" s="117"/>
      <c r="H174" s="117"/>
    </row>
    <row r="175" spans="7:8">
      <c r="G175" s="117"/>
      <c r="H175" s="117"/>
    </row>
    <row r="176" spans="7:8">
      <c r="G176" s="117"/>
      <c r="H176" s="117"/>
    </row>
    <row r="177" spans="7:8">
      <c r="G177" s="117"/>
      <c r="H177" s="117"/>
    </row>
    <row r="178" spans="7:8">
      <c r="G178" s="117"/>
      <c r="H178" s="117"/>
    </row>
    <row r="179" spans="7:8">
      <c r="G179" s="117"/>
      <c r="H179" s="117"/>
    </row>
    <row r="180" spans="7:8">
      <c r="G180" s="117"/>
      <c r="H180" s="117"/>
    </row>
    <row r="181" spans="7:8">
      <c r="G181" s="117"/>
      <c r="H181" s="117"/>
    </row>
    <row r="182" spans="7:8">
      <c r="G182" s="117"/>
      <c r="H182" s="117"/>
    </row>
    <row r="183" spans="7:8">
      <c r="G183" s="117"/>
      <c r="H183" s="117"/>
    </row>
    <row r="184" spans="7:8">
      <c r="G184" s="117"/>
      <c r="H184" s="117"/>
    </row>
    <row r="185" spans="7:8">
      <c r="G185" s="117"/>
      <c r="H185" s="117"/>
    </row>
    <row r="186" spans="7:8">
      <c r="G186" s="117"/>
      <c r="H186" s="117"/>
    </row>
    <row r="187" spans="7:8">
      <c r="G187" s="117"/>
      <c r="H187" s="117"/>
    </row>
    <row r="188" spans="7:8">
      <c r="G188" s="117"/>
      <c r="H188" s="117"/>
    </row>
    <row r="189" spans="7:8">
      <c r="G189" s="117"/>
      <c r="H189" s="117"/>
    </row>
    <row r="190" spans="7:8">
      <c r="G190" s="117"/>
      <c r="H190" s="117"/>
    </row>
    <row r="191" spans="7:8">
      <c r="G191" s="117"/>
      <c r="H191" s="117"/>
    </row>
    <row r="192" spans="7:8">
      <c r="G192" s="117"/>
      <c r="H192" s="117"/>
    </row>
    <row r="193" spans="7:8">
      <c r="G193" s="117"/>
      <c r="H193" s="117"/>
    </row>
    <row r="194" spans="7:8">
      <c r="G194" s="117"/>
      <c r="H194" s="117"/>
    </row>
    <row r="195" spans="7:8">
      <c r="G195" s="117"/>
      <c r="H195" s="117"/>
    </row>
    <row r="196" spans="7:8">
      <c r="G196" s="117"/>
      <c r="H196" s="117"/>
    </row>
    <row r="197" spans="7:8">
      <c r="G197" s="117"/>
      <c r="H197" s="117"/>
    </row>
    <row r="198" spans="7:8">
      <c r="G198" s="117"/>
      <c r="H198" s="117"/>
    </row>
    <row r="199" spans="7:8">
      <c r="G199" s="117"/>
      <c r="H199" s="117"/>
    </row>
    <row r="200" spans="7:8">
      <c r="G200" s="117"/>
      <c r="H200" s="117"/>
    </row>
    <row r="201" spans="7:8">
      <c r="G201" s="117"/>
      <c r="H201" s="117"/>
    </row>
    <row r="202" spans="7:8">
      <c r="G202" s="117"/>
      <c r="H202" s="117"/>
    </row>
    <row r="203" spans="7:8">
      <c r="G203" s="117"/>
      <c r="H203" s="117"/>
    </row>
    <row r="204" spans="7:8">
      <c r="G204" s="117"/>
      <c r="H204" s="117"/>
    </row>
    <row r="205" spans="7:8">
      <c r="G205" s="117"/>
      <c r="H205" s="117"/>
    </row>
    <row r="206" spans="7:8">
      <c r="G206" s="117"/>
      <c r="H206" s="117"/>
    </row>
    <row r="207" spans="7:8">
      <c r="G207" s="117"/>
      <c r="H207" s="117"/>
    </row>
    <row r="208" spans="7:8">
      <c r="G208" s="117"/>
      <c r="H208" s="117"/>
    </row>
    <row r="209" spans="7:8">
      <c r="G209" s="117"/>
      <c r="H209" s="117"/>
    </row>
    <row r="210" spans="7:8">
      <c r="G210" s="117"/>
      <c r="H210" s="117"/>
    </row>
    <row r="211" spans="7:8">
      <c r="G211" s="117"/>
      <c r="H211" s="117"/>
    </row>
    <row r="212" spans="7:8">
      <c r="G212" s="117"/>
      <c r="H212" s="117"/>
    </row>
    <row r="213" spans="7:8">
      <c r="G213" s="117"/>
      <c r="H213" s="117"/>
    </row>
    <row r="214" spans="7:8">
      <c r="G214" s="117"/>
      <c r="H214" s="117"/>
    </row>
    <row r="215" spans="7:8">
      <c r="G215" s="117"/>
      <c r="H215" s="117"/>
    </row>
    <row r="216" spans="7:8">
      <c r="G216" s="117"/>
      <c r="H216" s="117"/>
    </row>
    <row r="217" spans="7:8">
      <c r="G217" s="117"/>
      <c r="H217" s="117"/>
    </row>
    <row r="218" spans="7:8">
      <c r="G218" s="117"/>
      <c r="H218" s="117"/>
    </row>
    <row r="219" spans="7:8">
      <c r="G219" s="117"/>
      <c r="H219" s="117"/>
    </row>
    <row r="220" spans="7:8">
      <c r="G220" s="117"/>
      <c r="H220" s="117"/>
    </row>
    <row r="221" spans="7:8">
      <c r="G221" s="117"/>
      <c r="H221" s="117"/>
    </row>
    <row r="222" spans="7:8">
      <c r="G222" s="117"/>
      <c r="H222" s="117"/>
    </row>
    <row r="223" spans="7:8">
      <c r="G223" s="117"/>
      <c r="H223" s="117"/>
    </row>
    <row r="224" spans="7:8">
      <c r="G224" s="117"/>
      <c r="H224" s="117"/>
    </row>
    <row r="225" spans="7:8">
      <c r="G225" s="117"/>
      <c r="H225" s="117"/>
    </row>
  </sheetData>
  <mergeCells count="13">
    <mergeCell ref="A12:B12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  <mergeCell ref="D8:E8"/>
    <mergeCell ref="F8:H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300" r:id="rId1"/>
  <rowBreaks count="1" manualBreakCount="1">
    <brk id="39" max="1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B26" sqref="B26"/>
    </sheetView>
  </sheetViews>
  <sheetFormatPr defaultRowHeight="15"/>
  <cols>
    <col min="1" max="1" width="14.28515625" style="172" customWidth="1"/>
    <col min="2" max="2" width="12.7109375" style="172" customWidth="1"/>
    <col min="3" max="3" width="11.85546875" style="172" customWidth="1"/>
    <col min="4" max="4" width="13.7109375" style="172" customWidth="1"/>
    <col min="5" max="5" width="14.42578125" style="172" customWidth="1"/>
    <col min="6" max="6" width="13.140625" style="172" customWidth="1"/>
    <col min="7" max="8" width="15" style="172" customWidth="1"/>
    <col min="9" max="9" width="12.42578125" style="172" customWidth="1"/>
    <col min="10" max="10" width="13.5703125" style="172" customWidth="1"/>
    <col min="11" max="11" width="13.42578125" style="172" customWidth="1"/>
    <col min="12" max="12" width="13.7109375" style="172" customWidth="1"/>
    <col min="13" max="13" width="13.28515625" style="172" customWidth="1"/>
    <col min="14" max="14" width="16.140625" style="172" customWidth="1"/>
    <col min="15" max="16384" width="9.140625" style="172"/>
  </cols>
  <sheetData>
    <row r="1" spans="1:14">
      <c r="A1" s="238" t="s">
        <v>113</v>
      </c>
      <c r="B1" s="239"/>
      <c r="C1" s="239"/>
      <c r="D1" s="240"/>
      <c r="E1" s="166" t="s">
        <v>114</v>
      </c>
      <c r="F1" s="167" t="s">
        <v>113</v>
      </c>
      <c r="G1" s="168">
        <v>8377408743</v>
      </c>
      <c r="H1" s="169"/>
      <c r="I1" s="170"/>
      <c r="J1" s="171"/>
    </row>
    <row r="2" spans="1:14">
      <c r="A2" s="238" t="s">
        <v>115</v>
      </c>
      <c r="B2" s="239"/>
      <c r="C2" s="239"/>
      <c r="D2" s="240"/>
      <c r="E2" s="166" t="s">
        <v>114</v>
      </c>
      <c r="F2" s="167" t="s">
        <v>115</v>
      </c>
      <c r="G2" s="168">
        <v>654328936</v>
      </c>
      <c r="H2" s="169"/>
      <c r="I2" s="170"/>
      <c r="J2" s="171"/>
    </row>
    <row r="3" spans="1:14">
      <c r="A3" s="238" t="s">
        <v>116</v>
      </c>
      <c r="B3" s="239"/>
      <c r="C3" s="239"/>
      <c r="D3" s="240"/>
      <c r="E3" s="166" t="s">
        <v>114</v>
      </c>
      <c r="F3" s="167" t="s">
        <v>116</v>
      </c>
      <c r="G3" s="168">
        <v>495016255</v>
      </c>
      <c r="H3" s="169"/>
      <c r="I3" s="170"/>
      <c r="J3" s="171"/>
    </row>
    <row r="4" spans="1:14">
      <c r="A4" s="238" t="s">
        <v>117</v>
      </c>
      <c r="B4" s="239"/>
      <c r="C4" s="239"/>
      <c r="D4" s="240"/>
      <c r="E4" s="166" t="s">
        <v>114</v>
      </c>
      <c r="F4" s="167" t="s">
        <v>117</v>
      </c>
      <c r="G4" s="168">
        <v>1050532342</v>
      </c>
      <c r="H4" s="169"/>
      <c r="I4" s="170"/>
      <c r="J4" s="171"/>
    </row>
    <row r="5" spans="1:14">
      <c r="A5" s="238" t="s">
        <v>118</v>
      </c>
      <c r="B5" s="239"/>
      <c r="C5" s="239"/>
      <c r="D5" s="240"/>
      <c r="E5" s="166" t="s">
        <v>114</v>
      </c>
      <c r="F5" s="167" t="s">
        <v>118</v>
      </c>
      <c r="G5" s="168">
        <v>430497041</v>
      </c>
      <c r="H5" s="169"/>
      <c r="I5" s="170"/>
      <c r="J5" s="171"/>
    </row>
    <row r="6" spans="1:14">
      <c r="A6" s="238" t="s">
        <v>119</v>
      </c>
      <c r="B6" s="239"/>
      <c r="C6" s="239"/>
      <c r="D6" s="240"/>
      <c r="E6" s="166" t="s">
        <v>114</v>
      </c>
      <c r="F6" s="167" t="s">
        <v>119</v>
      </c>
      <c r="G6" s="168">
        <v>736544615</v>
      </c>
      <c r="H6" s="169"/>
      <c r="I6" s="170"/>
      <c r="J6" s="171"/>
    </row>
    <row r="7" spans="1:14">
      <c r="A7" s="238" t="s">
        <v>120</v>
      </c>
      <c r="B7" s="239"/>
      <c r="C7" s="239"/>
      <c r="D7" s="240"/>
      <c r="E7" s="166" t="s">
        <v>114</v>
      </c>
      <c r="F7" s="167" t="s">
        <v>120</v>
      </c>
      <c r="G7" s="168">
        <v>6047486102</v>
      </c>
      <c r="H7" s="169"/>
      <c r="I7" s="170"/>
      <c r="J7" s="171"/>
    </row>
    <row r="8" spans="1:14">
      <c r="A8" s="238" t="s">
        <v>121</v>
      </c>
      <c r="B8" s="239"/>
      <c r="C8" s="239"/>
      <c r="D8" s="240"/>
      <c r="E8" s="166" t="s">
        <v>114</v>
      </c>
      <c r="F8" s="167" t="s">
        <v>121</v>
      </c>
      <c r="G8" s="168">
        <v>454077523</v>
      </c>
      <c r="H8" s="169"/>
      <c r="I8" s="170"/>
      <c r="J8" s="171"/>
    </row>
    <row r="9" spans="1:14">
      <c r="A9" s="238" t="s">
        <v>122</v>
      </c>
      <c r="B9" s="239"/>
      <c r="C9" s="239"/>
      <c r="D9" s="240"/>
      <c r="E9" s="166" t="s">
        <v>114</v>
      </c>
      <c r="F9" s="167" t="s">
        <v>122</v>
      </c>
      <c r="G9" s="168">
        <v>427170000</v>
      </c>
      <c r="H9" s="169"/>
      <c r="I9" s="170"/>
      <c r="J9" s="171"/>
    </row>
    <row r="10" spans="1:14">
      <c r="A10" s="238" t="s">
        <v>123</v>
      </c>
      <c r="B10" s="239"/>
      <c r="C10" s="239"/>
      <c r="D10" s="240"/>
      <c r="E10" s="166" t="s">
        <v>114</v>
      </c>
      <c r="F10" s="167" t="s">
        <v>123</v>
      </c>
      <c r="G10" s="168">
        <v>655923343</v>
      </c>
      <c r="H10" s="169"/>
      <c r="I10" s="170"/>
      <c r="J10" s="171"/>
    </row>
    <row r="11" spans="1:14">
      <c r="A11" s="238" t="s">
        <v>124</v>
      </c>
      <c r="B11" s="239"/>
      <c r="C11" s="239"/>
      <c r="D11" s="240"/>
      <c r="E11" s="166" t="s">
        <v>114</v>
      </c>
      <c r="F11" s="167" t="s">
        <v>124</v>
      </c>
      <c r="G11" s="168">
        <v>433790395</v>
      </c>
      <c r="H11" s="169"/>
      <c r="I11" s="170"/>
      <c r="J11" s="171"/>
    </row>
    <row r="12" spans="1:14">
      <c r="A12" s="238" t="s">
        <v>125</v>
      </c>
      <c r="B12" s="239"/>
      <c r="C12" s="239"/>
      <c r="D12" s="240"/>
      <c r="E12" s="166" t="s">
        <v>114</v>
      </c>
      <c r="F12" s="167" t="s">
        <v>125</v>
      </c>
      <c r="G12" s="168">
        <v>426230000</v>
      </c>
      <c r="H12" s="169"/>
      <c r="I12" s="170"/>
      <c r="J12" s="171"/>
    </row>
    <row r="13" spans="1:14">
      <c r="A13" s="241" t="s">
        <v>126</v>
      </c>
      <c r="B13" s="242"/>
      <c r="C13" s="242"/>
      <c r="D13" s="243"/>
      <c r="E13" s="166" t="s">
        <v>114</v>
      </c>
      <c r="F13" s="173" t="s">
        <v>126</v>
      </c>
      <c r="G13" s="168">
        <f>SUM(G1:G12)</f>
        <v>20189005295</v>
      </c>
      <c r="H13" s="174"/>
      <c r="I13" s="175"/>
      <c r="J13" s="176"/>
    </row>
    <row r="15" spans="1:14">
      <c r="A15" s="177" t="s">
        <v>127</v>
      </c>
      <c r="B15" s="177" t="s">
        <v>128</v>
      </c>
      <c r="C15" s="178" t="s">
        <v>98</v>
      </c>
      <c r="D15" s="178" t="s">
        <v>129</v>
      </c>
      <c r="E15" s="178" t="s">
        <v>130</v>
      </c>
      <c r="F15" s="178" t="s">
        <v>101</v>
      </c>
      <c r="G15" s="178" t="s">
        <v>102</v>
      </c>
      <c r="H15" s="177" t="s">
        <v>103</v>
      </c>
      <c r="I15" s="177" t="s">
        <v>131</v>
      </c>
      <c r="J15" s="177" t="s">
        <v>132</v>
      </c>
      <c r="K15" s="178" t="s">
        <v>106</v>
      </c>
      <c r="L15" s="179" t="s">
        <v>107</v>
      </c>
      <c r="M15" s="179" t="s">
        <v>108</v>
      </c>
    </row>
    <row r="16" spans="1:14">
      <c r="A16" s="177">
        <v>20189005295</v>
      </c>
      <c r="B16" s="180">
        <v>8377408743</v>
      </c>
      <c r="C16" s="181">
        <v>654328936</v>
      </c>
      <c r="D16" s="181">
        <v>495016255</v>
      </c>
      <c r="E16" s="180">
        <v>1050532342</v>
      </c>
      <c r="F16" s="181">
        <v>430497041</v>
      </c>
      <c r="G16" s="181">
        <v>736544615</v>
      </c>
      <c r="H16" s="180">
        <v>6047486102</v>
      </c>
      <c r="I16" s="181">
        <v>454077523</v>
      </c>
      <c r="J16" s="181">
        <v>427170000</v>
      </c>
      <c r="K16" s="181">
        <v>655923343</v>
      </c>
      <c r="L16" s="182">
        <v>433790395</v>
      </c>
      <c r="M16" s="182">
        <v>426230000</v>
      </c>
      <c r="N16" s="183">
        <f>SUM(B16:M16)</f>
        <v>20189005295</v>
      </c>
    </row>
    <row r="17" spans="1:14">
      <c r="A17" s="184"/>
      <c r="B17" s="180">
        <f>B16</f>
        <v>8377408743</v>
      </c>
      <c r="C17" s="181">
        <f>B17+C16</f>
        <v>9031737679</v>
      </c>
      <c r="D17" s="181">
        <f>C17+D16</f>
        <v>9526753934</v>
      </c>
      <c r="E17" s="180">
        <f t="shared" ref="E17:M17" si="0">D17+E16</f>
        <v>10577286276</v>
      </c>
      <c r="F17" s="181">
        <f t="shared" si="0"/>
        <v>11007783317</v>
      </c>
      <c r="G17" s="181">
        <f t="shared" si="0"/>
        <v>11744327932</v>
      </c>
      <c r="H17" s="180">
        <f t="shared" si="0"/>
        <v>17791814034</v>
      </c>
      <c r="I17" s="181">
        <f t="shared" si="0"/>
        <v>18245891557</v>
      </c>
      <c r="J17" s="181">
        <f t="shared" si="0"/>
        <v>18673061557</v>
      </c>
      <c r="K17" s="181">
        <f t="shared" si="0"/>
        <v>19328984900</v>
      </c>
      <c r="L17" s="185">
        <f t="shared" si="0"/>
        <v>19762775295</v>
      </c>
      <c r="M17" s="185">
        <f t="shared" si="0"/>
        <v>20189005295</v>
      </c>
      <c r="N17" s="183"/>
    </row>
    <row r="18" spans="1:14">
      <c r="A18" s="180"/>
      <c r="B18" s="180">
        <f>B16/A16*100</f>
        <v>41.494905868763851</v>
      </c>
      <c r="C18" s="180">
        <f>C17/A16*100</f>
        <v>44.735922087438333</v>
      </c>
      <c r="D18" s="180">
        <f>D17/A16*100</f>
        <v>47.187832163080323</v>
      </c>
      <c r="E18" s="180">
        <f>E17/A16*100</f>
        <v>52.391319539747542</v>
      </c>
      <c r="F18" s="180">
        <f>F17/A16*100</f>
        <v>54.523653623124183</v>
      </c>
      <c r="G18" s="180">
        <f>G17/A16*100</f>
        <v>58.171899805824488</v>
      </c>
      <c r="H18" s="180">
        <f>H17/A16*100</f>
        <v>88.126253740724479</v>
      </c>
      <c r="I18" s="180">
        <f>I17/A16*100</f>
        <v>90.375386456106227</v>
      </c>
      <c r="J18" s="180">
        <f>J17/A16*100</f>
        <v>92.49124106983399</v>
      </c>
      <c r="K18" s="181">
        <f>K17/A16*100</f>
        <v>95.740154690964431</v>
      </c>
      <c r="L18" s="185">
        <f>L17/A16*100</f>
        <v>97.888801385843621</v>
      </c>
      <c r="M18" s="185">
        <f>M17/A16*100</f>
        <v>100</v>
      </c>
    </row>
  </sheetData>
  <mergeCells count="13">
    <mergeCell ref="A13:D13"/>
    <mergeCell ref="A7:D7"/>
    <mergeCell ref="A8:D8"/>
    <mergeCell ref="A9:D9"/>
    <mergeCell ref="A10:D10"/>
    <mergeCell ref="A11:D11"/>
    <mergeCell ref="A12:D12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B37:Q42"/>
  <sheetViews>
    <sheetView view="pageBreakPreview" topLeftCell="A13" zoomScaleSheetLayoutView="100" workbookViewId="0">
      <selection activeCell="S25" sqref="S25"/>
    </sheetView>
  </sheetViews>
  <sheetFormatPr defaultRowHeight="12.75"/>
  <cols>
    <col min="1" max="1" width="3.42578125" style="147" customWidth="1"/>
    <col min="2" max="2" width="9.140625" style="147" customWidth="1"/>
    <col min="3" max="3" width="9.140625" style="147"/>
    <col min="4" max="4" width="8.7109375" style="147" customWidth="1"/>
    <col min="5" max="16" width="9.140625" style="147" customWidth="1"/>
    <col min="17" max="256" width="9.140625" style="147"/>
    <col min="257" max="257" width="3.42578125" style="147" customWidth="1"/>
    <col min="258" max="258" width="9.140625" style="147" customWidth="1"/>
    <col min="259" max="259" width="9.140625" style="147"/>
    <col min="260" max="260" width="8.7109375" style="147" customWidth="1"/>
    <col min="261" max="272" width="9.140625" style="147" customWidth="1"/>
    <col min="273" max="512" width="9.140625" style="147"/>
    <col min="513" max="513" width="3.42578125" style="147" customWidth="1"/>
    <col min="514" max="514" width="9.140625" style="147" customWidth="1"/>
    <col min="515" max="515" width="9.140625" style="147"/>
    <col min="516" max="516" width="8.7109375" style="147" customWidth="1"/>
    <col min="517" max="528" width="9.140625" style="147" customWidth="1"/>
    <col min="529" max="768" width="9.140625" style="147"/>
    <col min="769" max="769" width="3.42578125" style="147" customWidth="1"/>
    <col min="770" max="770" width="9.140625" style="147" customWidth="1"/>
    <col min="771" max="771" width="9.140625" style="147"/>
    <col min="772" max="772" width="8.7109375" style="147" customWidth="1"/>
    <col min="773" max="784" width="9.140625" style="147" customWidth="1"/>
    <col min="785" max="1024" width="9.140625" style="147"/>
    <col min="1025" max="1025" width="3.42578125" style="147" customWidth="1"/>
    <col min="1026" max="1026" width="9.140625" style="147" customWidth="1"/>
    <col min="1027" max="1027" width="9.140625" style="147"/>
    <col min="1028" max="1028" width="8.7109375" style="147" customWidth="1"/>
    <col min="1029" max="1040" width="9.140625" style="147" customWidth="1"/>
    <col min="1041" max="1280" width="9.140625" style="147"/>
    <col min="1281" max="1281" width="3.42578125" style="147" customWidth="1"/>
    <col min="1282" max="1282" width="9.140625" style="147" customWidth="1"/>
    <col min="1283" max="1283" width="9.140625" style="147"/>
    <col min="1284" max="1284" width="8.7109375" style="147" customWidth="1"/>
    <col min="1285" max="1296" width="9.140625" style="147" customWidth="1"/>
    <col min="1297" max="1536" width="9.140625" style="147"/>
    <col min="1537" max="1537" width="3.42578125" style="147" customWidth="1"/>
    <col min="1538" max="1538" width="9.140625" style="147" customWidth="1"/>
    <col min="1539" max="1539" width="9.140625" style="147"/>
    <col min="1540" max="1540" width="8.7109375" style="147" customWidth="1"/>
    <col min="1541" max="1552" width="9.140625" style="147" customWidth="1"/>
    <col min="1553" max="1792" width="9.140625" style="147"/>
    <col min="1793" max="1793" width="3.42578125" style="147" customWidth="1"/>
    <col min="1794" max="1794" width="9.140625" style="147" customWidth="1"/>
    <col min="1795" max="1795" width="9.140625" style="147"/>
    <col min="1796" max="1796" width="8.7109375" style="147" customWidth="1"/>
    <col min="1797" max="1808" width="9.140625" style="147" customWidth="1"/>
    <col min="1809" max="2048" width="9.140625" style="147"/>
    <col min="2049" max="2049" width="3.42578125" style="147" customWidth="1"/>
    <col min="2050" max="2050" width="9.140625" style="147" customWidth="1"/>
    <col min="2051" max="2051" width="9.140625" style="147"/>
    <col min="2052" max="2052" width="8.7109375" style="147" customWidth="1"/>
    <col min="2053" max="2064" width="9.140625" style="147" customWidth="1"/>
    <col min="2065" max="2304" width="9.140625" style="147"/>
    <col min="2305" max="2305" width="3.42578125" style="147" customWidth="1"/>
    <col min="2306" max="2306" width="9.140625" style="147" customWidth="1"/>
    <col min="2307" max="2307" width="9.140625" style="147"/>
    <col min="2308" max="2308" width="8.7109375" style="147" customWidth="1"/>
    <col min="2309" max="2320" width="9.140625" style="147" customWidth="1"/>
    <col min="2321" max="2560" width="9.140625" style="147"/>
    <col min="2561" max="2561" width="3.42578125" style="147" customWidth="1"/>
    <col min="2562" max="2562" width="9.140625" style="147" customWidth="1"/>
    <col min="2563" max="2563" width="9.140625" style="147"/>
    <col min="2564" max="2564" width="8.7109375" style="147" customWidth="1"/>
    <col min="2565" max="2576" width="9.140625" style="147" customWidth="1"/>
    <col min="2577" max="2816" width="9.140625" style="147"/>
    <col min="2817" max="2817" width="3.42578125" style="147" customWidth="1"/>
    <col min="2818" max="2818" width="9.140625" style="147" customWidth="1"/>
    <col min="2819" max="2819" width="9.140625" style="147"/>
    <col min="2820" max="2820" width="8.7109375" style="147" customWidth="1"/>
    <col min="2821" max="2832" width="9.140625" style="147" customWidth="1"/>
    <col min="2833" max="3072" width="9.140625" style="147"/>
    <col min="3073" max="3073" width="3.42578125" style="147" customWidth="1"/>
    <col min="3074" max="3074" width="9.140625" style="147" customWidth="1"/>
    <col min="3075" max="3075" width="9.140625" style="147"/>
    <col min="3076" max="3076" width="8.7109375" style="147" customWidth="1"/>
    <col min="3077" max="3088" width="9.140625" style="147" customWidth="1"/>
    <col min="3089" max="3328" width="9.140625" style="147"/>
    <col min="3329" max="3329" width="3.42578125" style="147" customWidth="1"/>
    <col min="3330" max="3330" width="9.140625" style="147" customWidth="1"/>
    <col min="3331" max="3331" width="9.140625" style="147"/>
    <col min="3332" max="3332" width="8.7109375" style="147" customWidth="1"/>
    <col min="3333" max="3344" width="9.140625" style="147" customWidth="1"/>
    <col min="3345" max="3584" width="9.140625" style="147"/>
    <col min="3585" max="3585" width="3.42578125" style="147" customWidth="1"/>
    <col min="3586" max="3586" width="9.140625" style="147" customWidth="1"/>
    <col min="3587" max="3587" width="9.140625" style="147"/>
    <col min="3588" max="3588" width="8.7109375" style="147" customWidth="1"/>
    <col min="3589" max="3600" width="9.140625" style="147" customWidth="1"/>
    <col min="3601" max="3840" width="9.140625" style="147"/>
    <col min="3841" max="3841" width="3.42578125" style="147" customWidth="1"/>
    <col min="3842" max="3842" width="9.140625" style="147" customWidth="1"/>
    <col min="3843" max="3843" width="9.140625" style="147"/>
    <col min="3844" max="3844" width="8.7109375" style="147" customWidth="1"/>
    <col min="3845" max="3856" width="9.140625" style="147" customWidth="1"/>
    <col min="3857" max="4096" width="9.140625" style="147"/>
    <col min="4097" max="4097" width="3.42578125" style="147" customWidth="1"/>
    <col min="4098" max="4098" width="9.140625" style="147" customWidth="1"/>
    <col min="4099" max="4099" width="9.140625" style="147"/>
    <col min="4100" max="4100" width="8.7109375" style="147" customWidth="1"/>
    <col min="4101" max="4112" width="9.140625" style="147" customWidth="1"/>
    <col min="4113" max="4352" width="9.140625" style="147"/>
    <col min="4353" max="4353" width="3.42578125" style="147" customWidth="1"/>
    <col min="4354" max="4354" width="9.140625" style="147" customWidth="1"/>
    <col min="4355" max="4355" width="9.140625" style="147"/>
    <col min="4356" max="4356" width="8.7109375" style="147" customWidth="1"/>
    <col min="4357" max="4368" width="9.140625" style="147" customWidth="1"/>
    <col min="4369" max="4608" width="9.140625" style="147"/>
    <col min="4609" max="4609" width="3.42578125" style="147" customWidth="1"/>
    <col min="4610" max="4610" width="9.140625" style="147" customWidth="1"/>
    <col min="4611" max="4611" width="9.140625" style="147"/>
    <col min="4612" max="4612" width="8.7109375" style="147" customWidth="1"/>
    <col min="4613" max="4624" width="9.140625" style="147" customWidth="1"/>
    <col min="4625" max="4864" width="9.140625" style="147"/>
    <col min="4865" max="4865" width="3.42578125" style="147" customWidth="1"/>
    <col min="4866" max="4866" width="9.140625" style="147" customWidth="1"/>
    <col min="4867" max="4867" width="9.140625" style="147"/>
    <col min="4868" max="4868" width="8.7109375" style="147" customWidth="1"/>
    <col min="4869" max="4880" width="9.140625" style="147" customWidth="1"/>
    <col min="4881" max="5120" width="9.140625" style="147"/>
    <col min="5121" max="5121" width="3.42578125" style="147" customWidth="1"/>
    <col min="5122" max="5122" width="9.140625" style="147" customWidth="1"/>
    <col min="5123" max="5123" width="9.140625" style="147"/>
    <col min="5124" max="5124" width="8.7109375" style="147" customWidth="1"/>
    <col min="5125" max="5136" width="9.140625" style="147" customWidth="1"/>
    <col min="5137" max="5376" width="9.140625" style="147"/>
    <col min="5377" max="5377" width="3.42578125" style="147" customWidth="1"/>
    <col min="5378" max="5378" width="9.140625" style="147" customWidth="1"/>
    <col min="5379" max="5379" width="9.140625" style="147"/>
    <col min="5380" max="5380" width="8.7109375" style="147" customWidth="1"/>
    <col min="5381" max="5392" width="9.140625" style="147" customWidth="1"/>
    <col min="5393" max="5632" width="9.140625" style="147"/>
    <col min="5633" max="5633" width="3.42578125" style="147" customWidth="1"/>
    <col min="5634" max="5634" width="9.140625" style="147" customWidth="1"/>
    <col min="5635" max="5635" width="9.140625" style="147"/>
    <col min="5636" max="5636" width="8.7109375" style="147" customWidth="1"/>
    <col min="5637" max="5648" width="9.140625" style="147" customWidth="1"/>
    <col min="5649" max="5888" width="9.140625" style="147"/>
    <col min="5889" max="5889" width="3.42578125" style="147" customWidth="1"/>
    <col min="5890" max="5890" width="9.140625" style="147" customWidth="1"/>
    <col min="5891" max="5891" width="9.140625" style="147"/>
    <col min="5892" max="5892" width="8.7109375" style="147" customWidth="1"/>
    <col min="5893" max="5904" width="9.140625" style="147" customWidth="1"/>
    <col min="5905" max="6144" width="9.140625" style="147"/>
    <col min="6145" max="6145" width="3.42578125" style="147" customWidth="1"/>
    <col min="6146" max="6146" width="9.140625" style="147" customWidth="1"/>
    <col min="6147" max="6147" width="9.140625" style="147"/>
    <col min="6148" max="6148" width="8.7109375" style="147" customWidth="1"/>
    <col min="6149" max="6160" width="9.140625" style="147" customWidth="1"/>
    <col min="6161" max="6400" width="9.140625" style="147"/>
    <col min="6401" max="6401" width="3.42578125" style="147" customWidth="1"/>
    <col min="6402" max="6402" width="9.140625" style="147" customWidth="1"/>
    <col min="6403" max="6403" width="9.140625" style="147"/>
    <col min="6404" max="6404" width="8.7109375" style="147" customWidth="1"/>
    <col min="6405" max="6416" width="9.140625" style="147" customWidth="1"/>
    <col min="6417" max="6656" width="9.140625" style="147"/>
    <col min="6657" max="6657" width="3.42578125" style="147" customWidth="1"/>
    <col min="6658" max="6658" width="9.140625" style="147" customWidth="1"/>
    <col min="6659" max="6659" width="9.140625" style="147"/>
    <col min="6660" max="6660" width="8.7109375" style="147" customWidth="1"/>
    <col min="6661" max="6672" width="9.140625" style="147" customWidth="1"/>
    <col min="6673" max="6912" width="9.140625" style="147"/>
    <col min="6913" max="6913" width="3.42578125" style="147" customWidth="1"/>
    <col min="6914" max="6914" width="9.140625" style="147" customWidth="1"/>
    <col min="6915" max="6915" width="9.140625" style="147"/>
    <col min="6916" max="6916" width="8.7109375" style="147" customWidth="1"/>
    <col min="6917" max="6928" width="9.140625" style="147" customWidth="1"/>
    <col min="6929" max="7168" width="9.140625" style="147"/>
    <col min="7169" max="7169" width="3.42578125" style="147" customWidth="1"/>
    <col min="7170" max="7170" width="9.140625" style="147" customWidth="1"/>
    <col min="7171" max="7171" width="9.140625" style="147"/>
    <col min="7172" max="7172" width="8.7109375" style="147" customWidth="1"/>
    <col min="7173" max="7184" width="9.140625" style="147" customWidth="1"/>
    <col min="7185" max="7424" width="9.140625" style="147"/>
    <col min="7425" max="7425" width="3.42578125" style="147" customWidth="1"/>
    <col min="7426" max="7426" width="9.140625" style="147" customWidth="1"/>
    <col min="7427" max="7427" width="9.140625" style="147"/>
    <col min="7428" max="7428" width="8.7109375" style="147" customWidth="1"/>
    <col min="7429" max="7440" width="9.140625" style="147" customWidth="1"/>
    <col min="7441" max="7680" width="9.140625" style="147"/>
    <col min="7681" max="7681" width="3.42578125" style="147" customWidth="1"/>
    <col min="7682" max="7682" width="9.140625" style="147" customWidth="1"/>
    <col min="7683" max="7683" width="9.140625" style="147"/>
    <col min="7684" max="7684" width="8.7109375" style="147" customWidth="1"/>
    <col min="7685" max="7696" width="9.140625" style="147" customWidth="1"/>
    <col min="7697" max="7936" width="9.140625" style="147"/>
    <col min="7937" max="7937" width="3.42578125" style="147" customWidth="1"/>
    <col min="7938" max="7938" width="9.140625" style="147" customWidth="1"/>
    <col min="7939" max="7939" width="9.140625" style="147"/>
    <col min="7940" max="7940" width="8.7109375" style="147" customWidth="1"/>
    <col min="7941" max="7952" width="9.140625" style="147" customWidth="1"/>
    <col min="7953" max="8192" width="9.140625" style="147"/>
    <col min="8193" max="8193" width="3.42578125" style="147" customWidth="1"/>
    <col min="8194" max="8194" width="9.140625" style="147" customWidth="1"/>
    <col min="8195" max="8195" width="9.140625" style="147"/>
    <col min="8196" max="8196" width="8.7109375" style="147" customWidth="1"/>
    <col min="8197" max="8208" width="9.140625" style="147" customWidth="1"/>
    <col min="8209" max="8448" width="9.140625" style="147"/>
    <col min="8449" max="8449" width="3.42578125" style="147" customWidth="1"/>
    <col min="8450" max="8450" width="9.140625" style="147" customWidth="1"/>
    <col min="8451" max="8451" width="9.140625" style="147"/>
    <col min="8452" max="8452" width="8.7109375" style="147" customWidth="1"/>
    <col min="8453" max="8464" width="9.140625" style="147" customWidth="1"/>
    <col min="8465" max="8704" width="9.140625" style="147"/>
    <col min="8705" max="8705" width="3.42578125" style="147" customWidth="1"/>
    <col min="8706" max="8706" width="9.140625" style="147" customWidth="1"/>
    <col min="8707" max="8707" width="9.140625" style="147"/>
    <col min="8708" max="8708" width="8.7109375" style="147" customWidth="1"/>
    <col min="8709" max="8720" width="9.140625" style="147" customWidth="1"/>
    <col min="8721" max="8960" width="9.140625" style="147"/>
    <col min="8961" max="8961" width="3.42578125" style="147" customWidth="1"/>
    <col min="8962" max="8962" width="9.140625" style="147" customWidth="1"/>
    <col min="8963" max="8963" width="9.140625" style="147"/>
    <col min="8964" max="8964" width="8.7109375" style="147" customWidth="1"/>
    <col min="8965" max="8976" width="9.140625" style="147" customWidth="1"/>
    <col min="8977" max="9216" width="9.140625" style="147"/>
    <col min="9217" max="9217" width="3.42578125" style="147" customWidth="1"/>
    <col min="9218" max="9218" width="9.140625" style="147" customWidth="1"/>
    <col min="9219" max="9219" width="9.140625" style="147"/>
    <col min="9220" max="9220" width="8.7109375" style="147" customWidth="1"/>
    <col min="9221" max="9232" width="9.140625" style="147" customWidth="1"/>
    <col min="9233" max="9472" width="9.140625" style="147"/>
    <col min="9473" max="9473" width="3.42578125" style="147" customWidth="1"/>
    <col min="9474" max="9474" width="9.140625" style="147" customWidth="1"/>
    <col min="9475" max="9475" width="9.140625" style="147"/>
    <col min="9476" max="9476" width="8.7109375" style="147" customWidth="1"/>
    <col min="9477" max="9488" width="9.140625" style="147" customWidth="1"/>
    <col min="9489" max="9728" width="9.140625" style="147"/>
    <col min="9729" max="9729" width="3.42578125" style="147" customWidth="1"/>
    <col min="9730" max="9730" width="9.140625" style="147" customWidth="1"/>
    <col min="9731" max="9731" width="9.140625" style="147"/>
    <col min="9732" max="9732" width="8.7109375" style="147" customWidth="1"/>
    <col min="9733" max="9744" width="9.140625" style="147" customWidth="1"/>
    <col min="9745" max="9984" width="9.140625" style="147"/>
    <col min="9985" max="9985" width="3.42578125" style="147" customWidth="1"/>
    <col min="9986" max="9986" width="9.140625" style="147" customWidth="1"/>
    <col min="9987" max="9987" width="9.140625" style="147"/>
    <col min="9988" max="9988" width="8.7109375" style="147" customWidth="1"/>
    <col min="9989" max="10000" width="9.140625" style="147" customWidth="1"/>
    <col min="10001" max="10240" width="9.140625" style="147"/>
    <col min="10241" max="10241" width="3.42578125" style="147" customWidth="1"/>
    <col min="10242" max="10242" width="9.140625" style="147" customWidth="1"/>
    <col min="10243" max="10243" width="9.140625" style="147"/>
    <col min="10244" max="10244" width="8.7109375" style="147" customWidth="1"/>
    <col min="10245" max="10256" width="9.140625" style="147" customWidth="1"/>
    <col min="10257" max="10496" width="9.140625" style="147"/>
    <col min="10497" max="10497" width="3.42578125" style="147" customWidth="1"/>
    <col min="10498" max="10498" width="9.140625" style="147" customWidth="1"/>
    <col min="10499" max="10499" width="9.140625" style="147"/>
    <col min="10500" max="10500" width="8.7109375" style="147" customWidth="1"/>
    <col min="10501" max="10512" width="9.140625" style="147" customWidth="1"/>
    <col min="10513" max="10752" width="9.140625" style="147"/>
    <col min="10753" max="10753" width="3.42578125" style="147" customWidth="1"/>
    <col min="10754" max="10754" width="9.140625" style="147" customWidth="1"/>
    <col min="10755" max="10755" width="9.140625" style="147"/>
    <col min="10756" max="10756" width="8.7109375" style="147" customWidth="1"/>
    <col min="10757" max="10768" width="9.140625" style="147" customWidth="1"/>
    <col min="10769" max="11008" width="9.140625" style="147"/>
    <col min="11009" max="11009" width="3.42578125" style="147" customWidth="1"/>
    <col min="11010" max="11010" width="9.140625" style="147" customWidth="1"/>
    <col min="11011" max="11011" width="9.140625" style="147"/>
    <col min="11012" max="11012" width="8.7109375" style="147" customWidth="1"/>
    <col min="11013" max="11024" width="9.140625" style="147" customWidth="1"/>
    <col min="11025" max="11264" width="9.140625" style="147"/>
    <col min="11265" max="11265" width="3.42578125" style="147" customWidth="1"/>
    <col min="11266" max="11266" width="9.140625" style="147" customWidth="1"/>
    <col min="11267" max="11267" width="9.140625" style="147"/>
    <col min="11268" max="11268" width="8.7109375" style="147" customWidth="1"/>
    <col min="11269" max="11280" width="9.140625" style="147" customWidth="1"/>
    <col min="11281" max="11520" width="9.140625" style="147"/>
    <col min="11521" max="11521" width="3.42578125" style="147" customWidth="1"/>
    <col min="11522" max="11522" width="9.140625" style="147" customWidth="1"/>
    <col min="11523" max="11523" width="9.140625" style="147"/>
    <col min="11524" max="11524" width="8.7109375" style="147" customWidth="1"/>
    <col min="11525" max="11536" width="9.140625" style="147" customWidth="1"/>
    <col min="11537" max="11776" width="9.140625" style="147"/>
    <col min="11777" max="11777" width="3.42578125" style="147" customWidth="1"/>
    <col min="11778" max="11778" width="9.140625" style="147" customWidth="1"/>
    <col min="11779" max="11779" width="9.140625" style="147"/>
    <col min="11780" max="11780" width="8.7109375" style="147" customWidth="1"/>
    <col min="11781" max="11792" width="9.140625" style="147" customWidth="1"/>
    <col min="11793" max="12032" width="9.140625" style="147"/>
    <col min="12033" max="12033" width="3.42578125" style="147" customWidth="1"/>
    <col min="12034" max="12034" width="9.140625" style="147" customWidth="1"/>
    <col min="12035" max="12035" width="9.140625" style="147"/>
    <col min="12036" max="12036" width="8.7109375" style="147" customWidth="1"/>
    <col min="12037" max="12048" width="9.140625" style="147" customWidth="1"/>
    <col min="12049" max="12288" width="9.140625" style="147"/>
    <col min="12289" max="12289" width="3.42578125" style="147" customWidth="1"/>
    <col min="12290" max="12290" width="9.140625" style="147" customWidth="1"/>
    <col min="12291" max="12291" width="9.140625" style="147"/>
    <col min="12292" max="12292" width="8.7109375" style="147" customWidth="1"/>
    <col min="12293" max="12304" width="9.140625" style="147" customWidth="1"/>
    <col min="12305" max="12544" width="9.140625" style="147"/>
    <col min="12545" max="12545" width="3.42578125" style="147" customWidth="1"/>
    <col min="12546" max="12546" width="9.140625" style="147" customWidth="1"/>
    <col min="12547" max="12547" width="9.140625" style="147"/>
    <col min="12548" max="12548" width="8.7109375" style="147" customWidth="1"/>
    <col min="12549" max="12560" width="9.140625" style="147" customWidth="1"/>
    <col min="12561" max="12800" width="9.140625" style="147"/>
    <col min="12801" max="12801" width="3.42578125" style="147" customWidth="1"/>
    <col min="12802" max="12802" width="9.140625" style="147" customWidth="1"/>
    <col min="12803" max="12803" width="9.140625" style="147"/>
    <col min="12804" max="12804" width="8.7109375" style="147" customWidth="1"/>
    <col min="12805" max="12816" width="9.140625" style="147" customWidth="1"/>
    <col min="12817" max="13056" width="9.140625" style="147"/>
    <col min="13057" max="13057" width="3.42578125" style="147" customWidth="1"/>
    <col min="13058" max="13058" width="9.140625" style="147" customWidth="1"/>
    <col min="13059" max="13059" width="9.140625" style="147"/>
    <col min="13060" max="13060" width="8.7109375" style="147" customWidth="1"/>
    <col min="13061" max="13072" width="9.140625" style="147" customWidth="1"/>
    <col min="13073" max="13312" width="9.140625" style="147"/>
    <col min="13313" max="13313" width="3.42578125" style="147" customWidth="1"/>
    <col min="13314" max="13314" width="9.140625" style="147" customWidth="1"/>
    <col min="13315" max="13315" width="9.140625" style="147"/>
    <col min="13316" max="13316" width="8.7109375" style="147" customWidth="1"/>
    <col min="13317" max="13328" width="9.140625" style="147" customWidth="1"/>
    <col min="13329" max="13568" width="9.140625" style="147"/>
    <col min="13569" max="13569" width="3.42578125" style="147" customWidth="1"/>
    <col min="13570" max="13570" width="9.140625" style="147" customWidth="1"/>
    <col min="13571" max="13571" width="9.140625" style="147"/>
    <col min="13572" max="13572" width="8.7109375" style="147" customWidth="1"/>
    <col min="13573" max="13584" width="9.140625" style="147" customWidth="1"/>
    <col min="13585" max="13824" width="9.140625" style="147"/>
    <col min="13825" max="13825" width="3.42578125" style="147" customWidth="1"/>
    <col min="13826" max="13826" width="9.140625" style="147" customWidth="1"/>
    <col min="13827" max="13827" width="9.140625" style="147"/>
    <col min="13828" max="13828" width="8.7109375" style="147" customWidth="1"/>
    <col min="13829" max="13840" width="9.140625" style="147" customWidth="1"/>
    <col min="13841" max="14080" width="9.140625" style="147"/>
    <col min="14081" max="14081" width="3.42578125" style="147" customWidth="1"/>
    <col min="14082" max="14082" width="9.140625" style="147" customWidth="1"/>
    <col min="14083" max="14083" width="9.140625" style="147"/>
    <col min="14084" max="14084" width="8.7109375" style="147" customWidth="1"/>
    <col min="14085" max="14096" width="9.140625" style="147" customWidth="1"/>
    <col min="14097" max="14336" width="9.140625" style="147"/>
    <col min="14337" max="14337" width="3.42578125" style="147" customWidth="1"/>
    <col min="14338" max="14338" width="9.140625" style="147" customWidth="1"/>
    <col min="14339" max="14339" width="9.140625" style="147"/>
    <col min="14340" max="14340" width="8.7109375" style="147" customWidth="1"/>
    <col min="14341" max="14352" width="9.140625" style="147" customWidth="1"/>
    <col min="14353" max="14592" width="9.140625" style="147"/>
    <col min="14593" max="14593" width="3.42578125" style="147" customWidth="1"/>
    <col min="14594" max="14594" width="9.140625" style="147" customWidth="1"/>
    <col min="14595" max="14595" width="9.140625" style="147"/>
    <col min="14596" max="14596" width="8.7109375" style="147" customWidth="1"/>
    <col min="14597" max="14608" width="9.140625" style="147" customWidth="1"/>
    <col min="14609" max="14848" width="9.140625" style="147"/>
    <col min="14849" max="14849" width="3.42578125" style="147" customWidth="1"/>
    <col min="14850" max="14850" width="9.140625" style="147" customWidth="1"/>
    <col min="14851" max="14851" width="9.140625" style="147"/>
    <col min="14852" max="14852" width="8.7109375" style="147" customWidth="1"/>
    <col min="14853" max="14864" width="9.140625" style="147" customWidth="1"/>
    <col min="14865" max="15104" width="9.140625" style="147"/>
    <col min="15105" max="15105" width="3.42578125" style="147" customWidth="1"/>
    <col min="15106" max="15106" width="9.140625" style="147" customWidth="1"/>
    <col min="15107" max="15107" width="9.140625" style="147"/>
    <col min="15108" max="15108" width="8.7109375" style="147" customWidth="1"/>
    <col min="15109" max="15120" width="9.140625" style="147" customWidth="1"/>
    <col min="15121" max="15360" width="9.140625" style="147"/>
    <col min="15361" max="15361" width="3.42578125" style="147" customWidth="1"/>
    <col min="15362" max="15362" width="9.140625" style="147" customWidth="1"/>
    <col min="15363" max="15363" width="9.140625" style="147"/>
    <col min="15364" max="15364" width="8.7109375" style="147" customWidth="1"/>
    <col min="15365" max="15376" width="9.140625" style="147" customWidth="1"/>
    <col min="15377" max="15616" width="9.140625" style="147"/>
    <col min="15617" max="15617" width="3.42578125" style="147" customWidth="1"/>
    <col min="15618" max="15618" width="9.140625" style="147" customWidth="1"/>
    <col min="15619" max="15619" width="9.140625" style="147"/>
    <col min="15620" max="15620" width="8.7109375" style="147" customWidth="1"/>
    <col min="15621" max="15632" width="9.140625" style="147" customWidth="1"/>
    <col min="15633" max="15872" width="9.140625" style="147"/>
    <col min="15873" max="15873" width="3.42578125" style="147" customWidth="1"/>
    <col min="15874" max="15874" width="9.140625" style="147" customWidth="1"/>
    <col min="15875" max="15875" width="9.140625" style="147"/>
    <col min="15876" max="15876" width="8.7109375" style="147" customWidth="1"/>
    <col min="15877" max="15888" width="9.140625" style="147" customWidth="1"/>
    <col min="15889" max="16128" width="9.140625" style="147"/>
    <col min="16129" max="16129" width="3.42578125" style="147" customWidth="1"/>
    <col min="16130" max="16130" width="9.140625" style="147" customWidth="1"/>
    <col min="16131" max="16131" width="9.140625" style="147"/>
    <col min="16132" max="16132" width="8.7109375" style="147" customWidth="1"/>
    <col min="16133" max="16144" width="9.140625" style="147" customWidth="1"/>
    <col min="16145" max="16384" width="9.140625" style="147"/>
  </cols>
  <sheetData>
    <row r="37" spans="2:17" ht="13.5" thickBot="1"/>
    <row r="38" spans="2:17">
      <c r="B38" s="244" t="s">
        <v>66</v>
      </c>
      <c r="C38" s="245"/>
      <c r="D38" s="246"/>
      <c r="E38" s="148" t="s">
        <v>97</v>
      </c>
      <c r="F38" s="149" t="s">
        <v>98</v>
      </c>
      <c r="G38" s="149" t="s">
        <v>99</v>
      </c>
      <c r="H38" s="149" t="s">
        <v>100</v>
      </c>
      <c r="I38" s="149" t="s">
        <v>101</v>
      </c>
      <c r="J38" s="149" t="s">
        <v>102</v>
      </c>
      <c r="K38" s="149" t="s">
        <v>103</v>
      </c>
      <c r="L38" s="149" t="s">
        <v>104</v>
      </c>
      <c r="M38" s="149" t="s">
        <v>105</v>
      </c>
      <c r="N38" s="149" t="s">
        <v>106</v>
      </c>
      <c r="O38" s="149" t="s">
        <v>107</v>
      </c>
      <c r="P38" s="150" t="s">
        <v>108</v>
      </c>
    </row>
    <row r="39" spans="2:17">
      <c r="B39" s="151" t="s">
        <v>109</v>
      </c>
      <c r="C39" s="152"/>
      <c r="D39" s="153"/>
      <c r="E39" s="154">
        <v>41.49</v>
      </c>
      <c r="F39" s="154">
        <v>44.74</v>
      </c>
      <c r="G39" s="154">
        <v>47.19</v>
      </c>
      <c r="H39" s="154">
        <v>52.39</v>
      </c>
      <c r="I39" s="154">
        <v>54.52</v>
      </c>
      <c r="J39" s="154">
        <v>58.17</v>
      </c>
      <c r="K39" s="154">
        <v>88.13</v>
      </c>
      <c r="L39" s="154">
        <v>90.38</v>
      </c>
      <c r="M39" s="154">
        <v>92.48</v>
      </c>
      <c r="N39" s="154">
        <v>95.74</v>
      </c>
      <c r="O39" s="154">
        <v>97.89</v>
      </c>
      <c r="P39" s="155">
        <v>100</v>
      </c>
      <c r="Q39" s="156"/>
    </row>
    <row r="40" spans="2:17">
      <c r="B40" s="157" t="s">
        <v>110</v>
      </c>
      <c r="C40" s="158"/>
      <c r="D40" s="159"/>
      <c r="E40" s="160">
        <v>2.91</v>
      </c>
      <c r="F40" s="160">
        <v>4.37</v>
      </c>
      <c r="G40" s="160">
        <v>9.36</v>
      </c>
      <c r="H40" s="160">
        <v>13.7</v>
      </c>
      <c r="I40" s="160">
        <v>21.99</v>
      </c>
      <c r="J40" s="160">
        <v>28.86</v>
      </c>
      <c r="K40" s="160">
        <v>38.51</v>
      </c>
      <c r="L40" s="160">
        <v>49.67</v>
      </c>
      <c r="M40" s="160">
        <v>52.19</v>
      </c>
      <c r="N40" s="160">
        <v>73.209999999999994</v>
      </c>
      <c r="O40" s="160">
        <v>83.43</v>
      </c>
      <c r="P40" s="161">
        <v>94.23</v>
      </c>
    </row>
    <row r="41" spans="2:17">
      <c r="B41" s="157" t="s">
        <v>111</v>
      </c>
      <c r="C41" s="158"/>
      <c r="D41" s="159"/>
      <c r="E41" s="160">
        <v>2.91</v>
      </c>
      <c r="F41" s="160">
        <v>4.37</v>
      </c>
      <c r="G41" s="160">
        <v>9.36</v>
      </c>
      <c r="H41" s="160">
        <v>13.7</v>
      </c>
      <c r="I41" s="160">
        <v>21.99</v>
      </c>
      <c r="J41" s="160">
        <v>28.86</v>
      </c>
      <c r="K41" s="160">
        <v>38.51</v>
      </c>
      <c r="L41" s="160">
        <v>49.67</v>
      </c>
      <c r="M41" s="160">
        <v>52.19</v>
      </c>
      <c r="N41" s="160">
        <v>73.209999999999994</v>
      </c>
      <c r="O41" s="160">
        <v>83.43</v>
      </c>
      <c r="P41" s="161">
        <v>94.23</v>
      </c>
    </row>
    <row r="42" spans="2:17" ht="13.5" thickBot="1">
      <c r="B42" s="162" t="s">
        <v>112</v>
      </c>
      <c r="C42" s="163"/>
      <c r="D42" s="164"/>
      <c r="E42" s="165">
        <f>+E41-E39</f>
        <v>-38.58</v>
      </c>
      <c r="F42" s="165">
        <f t="shared" ref="F42:P42" si="0">+F41-F39</f>
        <v>-40.370000000000005</v>
      </c>
      <c r="G42" s="165">
        <f t="shared" si="0"/>
        <v>-37.83</v>
      </c>
      <c r="H42" s="165">
        <f t="shared" si="0"/>
        <v>-38.69</v>
      </c>
      <c r="I42" s="165">
        <f t="shared" si="0"/>
        <v>-32.53</v>
      </c>
      <c r="J42" s="165">
        <f t="shared" si="0"/>
        <v>-29.310000000000002</v>
      </c>
      <c r="K42" s="165">
        <f t="shared" si="0"/>
        <v>-49.62</v>
      </c>
      <c r="L42" s="165">
        <f t="shared" si="0"/>
        <v>-40.709999999999994</v>
      </c>
      <c r="M42" s="165">
        <f t="shared" si="0"/>
        <v>-40.290000000000006</v>
      </c>
      <c r="N42" s="165">
        <f t="shared" si="0"/>
        <v>-22.53</v>
      </c>
      <c r="O42" s="165">
        <f t="shared" si="0"/>
        <v>-14.459999999999994</v>
      </c>
      <c r="P42" s="165">
        <f t="shared" si="0"/>
        <v>-5.769999999999996</v>
      </c>
    </row>
  </sheetData>
  <mergeCells count="1">
    <mergeCell ref="B38:D38"/>
  </mergeCells>
  <pageMargins left="1.99" right="0.75" top="0.5" bottom="1" header="0.3" footer="0.3"/>
  <pageSetup paperSize="5" scale="9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topLeftCell="A7" zoomScale="80" zoomScaleSheetLayoutView="80" workbookViewId="0">
      <selection activeCell="K7" sqref="K7:K9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2.710937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2" max="12" width="15.5703125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154</v>
      </c>
      <c r="N5" s="44"/>
    </row>
    <row r="6" spans="1:14">
      <c r="A6" s="4"/>
      <c r="C6" s="22"/>
      <c r="J6" s="3" t="s">
        <v>3</v>
      </c>
      <c r="K6" s="3" t="s">
        <v>155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214" t="s">
        <v>8</v>
      </c>
      <c r="C10" s="129">
        <f>C11</f>
        <v>19475500015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214" t="s">
        <v>9</v>
      </c>
      <c r="C11" s="129">
        <f>C12</f>
        <v>19475500015</v>
      </c>
      <c r="D11" s="94">
        <f t="shared" ref="D11:I11" si="0">D12</f>
        <v>0.83432934679392368</v>
      </c>
      <c r="E11" s="94">
        <f t="shared" si="0"/>
        <v>0.83432934679392368</v>
      </c>
      <c r="F11" s="94">
        <f t="shared" si="0"/>
        <v>16248981206</v>
      </c>
      <c r="G11" s="94">
        <f t="shared" si="0"/>
        <v>83.432934679392361</v>
      </c>
      <c r="H11" s="94">
        <f t="shared" si="0"/>
        <v>83.432934679392361</v>
      </c>
      <c r="I11" s="94">
        <f t="shared" si="0"/>
        <v>82.598605332598439</v>
      </c>
      <c r="J11" s="6">
        <f>C11-F11</f>
        <v>3226518809</v>
      </c>
      <c r="K11" s="6">
        <f>J11/C11*100</f>
        <v>16.567065320607636</v>
      </c>
      <c r="L11" s="9"/>
      <c r="N11" s="1"/>
    </row>
    <row r="12" spans="1:14" ht="36" customHeight="1">
      <c r="A12" s="236" t="s">
        <v>66</v>
      </c>
      <c r="B12" s="237"/>
      <c r="C12" s="127">
        <f>C13+C49+C55+C64+C68</f>
        <v>19475500015</v>
      </c>
      <c r="D12" s="126">
        <f>E12</f>
        <v>0.83432934679392368</v>
      </c>
      <c r="E12" s="126">
        <f>F12/C12*100%</f>
        <v>0.83432934679392368</v>
      </c>
      <c r="F12" s="126">
        <f>F13+F68+F49+F55+F64</f>
        <v>16248981206</v>
      </c>
      <c r="G12" s="126">
        <f>H12</f>
        <v>83.432934679392361</v>
      </c>
      <c r="H12" s="126">
        <f>F12/C12*100</f>
        <v>83.432934679392361</v>
      </c>
      <c r="I12" s="126">
        <f>H12-E12</f>
        <v>82.598605332598439</v>
      </c>
      <c r="J12" s="126">
        <f>J13+J68+J49+J55+J64</f>
        <v>3226518809</v>
      </c>
      <c r="K12" s="146">
        <f>J12/C12*100</f>
        <v>16.567065320607636</v>
      </c>
      <c r="L12" s="203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12135004221</v>
      </c>
      <c r="D13" s="57">
        <f>E13</f>
        <v>0.86244497944950493</v>
      </c>
      <c r="E13" s="57">
        <f>F13/C13*100%</f>
        <v>0.86244497944950493</v>
      </c>
      <c r="F13" s="57">
        <f t="shared" si="1"/>
        <v>10465773466</v>
      </c>
      <c r="G13" s="57">
        <f>H13</f>
        <v>86.244497944950496</v>
      </c>
      <c r="H13" s="57">
        <f>F13/C13*100</f>
        <v>86.244497944950496</v>
      </c>
      <c r="I13" s="57">
        <f>H13-E13</f>
        <v>85.382052965500989</v>
      </c>
      <c r="J13" s="59">
        <f>C13-F13</f>
        <v>1669230755</v>
      </c>
      <c r="K13" s="58">
        <f>J13/C13*100</f>
        <v>13.755502055049512</v>
      </c>
      <c r="L13" s="58"/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F14" si="2">SUM(C15:C20)</f>
        <v>140773000</v>
      </c>
      <c r="D14" s="38">
        <f>E14</f>
        <v>0.51696703203028993</v>
      </c>
      <c r="E14" s="38">
        <f>F14/C14*100%</f>
        <v>0.51696703203028993</v>
      </c>
      <c r="F14" s="36">
        <f t="shared" si="2"/>
        <v>72775000</v>
      </c>
      <c r="G14" s="90">
        <f>H14</f>
        <v>51.696703203028996</v>
      </c>
      <c r="H14" s="90">
        <f>F14/C14*100</f>
        <v>51.696703203028996</v>
      </c>
      <c r="I14" s="99">
        <f>H14-E14</f>
        <v>51.179736170998709</v>
      </c>
      <c r="J14" s="52">
        <f>C14-F14</f>
        <v>67998000</v>
      </c>
      <c r="K14" s="51">
        <f>J14/C14*100</f>
        <v>48.303296796971011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208">
        <f>E15</f>
        <v>0.58664024612817434</v>
      </c>
      <c r="E15" s="208">
        <f>F15/C15*100%</f>
        <v>0.58664024612817434</v>
      </c>
      <c r="F15" s="209">
        <f>4500000+4500000+4500000+4500000+4500000+4500000+4500000+4500000+4500000+4500000</f>
        <v>45000000</v>
      </c>
      <c r="G15" s="210">
        <f>H15</f>
        <v>58.664024612817435</v>
      </c>
      <c r="H15" s="210">
        <f>F15/C15*100</f>
        <v>58.664024612817435</v>
      </c>
      <c r="I15" s="102">
        <f>H15-E15</f>
        <v>58.077384366689259</v>
      </c>
      <c r="J15" s="89">
        <f t="shared" ref="J15:J72" si="3">C15-F15</f>
        <v>31708000</v>
      </c>
      <c r="K15" s="12">
        <f>J15/C15*100</f>
        <v>41.335975387182557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208">
        <f t="shared" ref="D16:D20" si="4">E16</f>
        <v>0.72789115646258506</v>
      </c>
      <c r="E16" s="208">
        <f t="shared" ref="E16:E20" si="5">F16/C16*100%</f>
        <v>0.72789115646258506</v>
      </c>
      <c r="F16" s="209">
        <v>5350000</v>
      </c>
      <c r="G16" s="210">
        <f t="shared" ref="G16:G21" si="6">H16</f>
        <v>72.789115646258509</v>
      </c>
      <c r="H16" s="210">
        <f t="shared" ref="H16:H20" si="7">F16/C16*100</f>
        <v>72.789115646258509</v>
      </c>
      <c r="I16" s="102">
        <f t="shared" ref="I16:I20" si="8">H16-E16</f>
        <v>72.061224489795919</v>
      </c>
      <c r="J16" s="89">
        <f t="shared" si="3"/>
        <v>2000000</v>
      </c>
      <c r="K16" s="12">
        <f t="shared" ref="K16:K72" si="9">J16/C16*100</f>
        <v>27.210884353741498</v>
      </c>
      <c r="L16" s="202"/>
      <c r="N16" s="1"/>
    </row>
    <row r="17" spans="1:14" ht="19.149999999999999" customHeight="1">
      <c r="A17" s="10"/>
      <c r="B17" s="48" t="s">
        <v>15</v>
      </c>
      <c r="C17" s="23">
        <v>8450000</v>
      </c>
      <c r="D17" s="208">
        <f t="shared" si="4"/>
        <v>1</v>
      </c>
      <c r="E17" s="208">
        <f t="shared" si="5"/>
        <v>1</v>
      </c>
      <c r="F17" s="209">
        <v>8450000</v>
      </c>
      <c r="G17" s="210">
        <f t="shared" si="6"/>
        <v>100</v>
      </c>
      <c r="H17" s="210">
        <f t="shared" si="7"/>
        <v>100</v>
      </c>
      <c r="I17" s="102">
        <f t="shared" si="8"/>
        <v>99</v>
      </c>
      <c r="J17" s="89">
        <f t="shared" si="3"/>
        <v>0</v>
      </c>
      <c r="K17" s="12">
        <f t="shared" si="9"/>
        <v>0</v>
      </c>
      <c r="L17" s="202"/>
      <c r="N17" s="1"/>
    </row>
    <row r="18" spans="1:14" ht="19.149999999999999" customHeight="1">
      <c r="A18" s="10"/>
      <c r="B18" s="48" t="s">
        <v>16</v>
      </c>
      <c r="C18" s="23">
        <v>7350000</v>
      </c>
      <c r="D18" s="208">
        <f t="shared" si="4"/>
        <v>1</v>
      </c>
      <c r="E18" s="208">
        <f t="shared" si="5"/>
        <v>1</v>
      </c>
      <c r="F18" s="209">
        <f>5275000+2075000</f>
        <v>7350000</v>
      </c>
      <c r="G18" s="210">
        <f t="shared" si="6"/>
        <v>100</v>
      </c>
      <c r="H18" s="210">
        <f t="shared" si="7"/>
        <v>100</v>
      </c>
      <c r="I18" s="102">
        <f t="shared" si="8"/>
        <v>99</v>
      </c>
      <c r="J18" s="89">
        <f t="shared" si="3"/>
        <v>0</v>
      </c>
      <c r="K18" s="12">
        <f t="shared" si="9"/>
        <v>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211">
        <f t="shared" si="4"/>
        <v>0.78402366863905326</v>
      </c>
      <c r="E19" s="211">
        <f t="shared" si="5"/>
        <v>0.78402366863905326</v>
      </c>
      <c r="F19" s="212">
        <v>6625000</v>
      </c>
      <c r="G19" s="213">
        <f t="shared" si="6"/>
        <v>78.402366863905328</v>
      </c>
      <c r="H19" s="213">
        <f t="shared" si="7"/>
        <v>78.402366863905328</v>
      </c>
      <c r="I19" s="102">
        <f t="shared" si="8"/>
        <v>77.618343195266277</v>
      </c>
      <c r="J19" s="89">
        <f t="shared" si="3"/>
        <v>1825000</v>
      </c>
      <c r="K19" s="12">
        <f t="shared" si="9"/>
        <v>21.597633136094675</v>
      </c>
      <c r="L19" s="202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202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8992135602</v>
      </c>
      <c r="D21" s="38">
        <f>SUM(D22:D24)</f>
        <v>1.7770429479392336</v>
      </c>
      <c r="E21" s="38">
        <f>SUM(E22:E24)</f>
        <v>1.7770429479392336</v>
      </c>
      <c r="F21" s="36">
        <f>SUM(F22:F24)</f>
        <v>7890767905</v>
      </c>
      <c r="G21" s="90">
        <f t="shared" si="6"/>
        <v>87.751878466389698</v>
      </c>
      <c r="H21" s="90">
        <f>F21/C21*100</f>
        <v>87.751878466389698</v>
      </c>
      <c r="I21" s="99">
        <f>H21-E21</f>
        <v>85.974835518450462</v>
      </c>
      <c r="J21" s="52">
        <f t="shared" si="3"/>
        <v>1101367697</v>
      </c>
      <c r="K21" s="51">
        <f t="shared" si="9"/>
        <v>12.248121533610298</v>
      </c>
      <c r="L21" s="53"/>
      <c r="N21" s="46"/>
    </row>
    <row r="22" spans="1:14" ht="19.149999999999999" customHeight="1">
      <c r="A22" s="10"/>
      <c r="B22" s="48" t="s">
        <v>20</v>
      </c>
      <c r="C22" s="23">
        <v>8943270602</v>
      </c>
      <c r="D22" s="85">
        <f>E22</f>
        <v>0.87886112975741537</v>
      </c>
      <c r="E22" s="85">
        <f>F22/C22*100%</f>
        <v>0.87886112975741537</v>
      </c>
      <c r="F22" s="103">
        <f>586844600+275805000+987621900+615632300+876761900+5170800+589503100+343100000+520316000+343100000+247038500+343100000+247145500+338100000+247145500+638358339+2941978+357100000+295107488</f>
        <v>7859892905</v>
      </c>
      <c r="G22" s="104">
        <f>H22</f>
        <v>87.88611297574154</v>
      </c>
      <c r="H22" s="104">
        <f>F22/C22*100</f>
        <v>87.88611297574154</v>
      </c>
      <c r="I22" s="105">
        <f>H22-E22</f>
        <v>87.007251845984129</v>
      </c>
      <c r="J22" s="89">
        <f t="shared" si="3"/>
        <v>1083377697</v>
      </c>
      <c r="K22" s="12">
        <f t="shared" si="9"/>
        <v>12.113887024258466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H23-E23</f>
        <v>0</v>
      </c>
      <c r="J23" s="89">
        <f t="shared" si="3"/>
        <v>14490000</v>
      </c>
      <c r="K23" s="12">
        <f t="shared" si="9"/>
        <v>100</v>
      </c>
      <c r="L23" s="202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0.89818181818181819</v>
      </c>
      <c r="E24" s="85">
        <f t="shared" si="11"/>
        <v>0.89818181818181819</v>
      </c>
      <c r="F24" s="103">
        <f>1750000+1750000+1750000+1750000+1750000+1750000+1750000+1750000+1750000+13375000+1750000</f>
        <v>30875000</v>
      </c>
      <c r="G24" s="104">
        <f t="shared" si="12"/>
        <v>89.818181818181813</v>
      </c>
      <c r="H24" s="104">
        <f t="shared" si="13"/>
        <v>89.818181818181813</v>
      </c>
      <c r="I24" s="105">
        <f t="shared" si="14"/>
        <v>88.92</v>
      </c>
      <c r="J24" s="89">
        <f t="shared" si="3"/>
        <v>3500000</v>
      </c>
      <c r="K24" s="12">
        <f t="shared" si="9"/>
        <v>10.181818181818182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0.86678507992895204</v>
      </c>
      <c r="E25" s="38">
        <f>E26</f>
        <v>0.86678507992895204</v>
      </c>
      <c r="F25" s="36">
        <f>F26</f>
        <v>19520000</v>
      </c>
      <c r="G25" s="90">
        <f>H25</f>
        <v>86.678507992895206</v>
      </c>
      <c r="H25" s="90">
        <f>F25/C25*100</f>
        <v>86.678507992895206</v>
      </c>
      <c r="I25" s="99">
        <f>H25-E25</f>
        <v>85.81172291296626</v>
      </c>
      <c r="J25" s="52">
        <f t="shared" si="3"/>
        <v>3000000</v>
      </c>
      <c r="K25" s="51">
        <f t="shared" si="9"/>
        <v>13.321492007104796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98">
        <f>E26</f>
        <v>0.86678507992895204</v>
      </c>
      <c r="E26" s="198">
        <f>F26/C26*100%</f>
        <v>0.86678507992895204</v>
      </c>
      <c r="F26" s="134">
        <f>1500000+1500000+1500000+1500000+1500000+1500000+1500000+1500000+1500000+4520000+1500000</f>
        <v>19520000</v>
      </c>
      <c r="G26" s="101">
        <f>H26</f>
        <v>86.678507992895206</v>
      </c>
      <c r="H26" s="101">
        <f>F26/C26*100</f>
        <v>86.678507992895206</v>
      </c>
      <c r="I26" s="102">
        <f>H26-E26</f>
        <v>85.81172291296626</v>
      </c>
      <c r="J26" s="89">
        <f t="shared" si="3"/>
        <v>3000000</v>
      </c>
      <c r="K26" s="12">
        <f t="shared" si="9"/>
        <v>13.321492007104796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810627886</v>
      </c>
      <c r="D27" s="38">
        <f>E27</f>
        <v>0.87736088689157188</v>
      </c>
      <c r="E27" s="38">
        <f>F27/C27*100%</f>
        <v>0.87736088689157188</v>
      </c>
      <c r="F27" s="36">
        <f>SUM(F28:F35)</f>
        <v>711213201</v>
      </c>
      <c r="G27" s="90">
        <f t="shared" ref="G27:G35" si="15">H27</f>
        <v>87.736088689157185</v>
      </c>
      <c r="H27" s="90">
        <f>F27/C27*100</f>
        <v>87.736088689157185</v>
      </c>
      <c r="I27" s="99">
        <f>H27-E27</f>
        <v>86.858727802265619</v>
      </c>
      <c r="J27" s="52">
        <f t="shared" si="3"/>
        <v>99414685</v>
      </c>
      <c r="K27" s="51">
        <f t="shared" si="9"/>
        <v>12.263911310842815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0.72561825559030735</v>
      </c>
      <c r="E28" s="14">
        <f>F28/C28*100%</f>
        <v>0.72561825559030735</v>
      </c>
      <c r="F28" s="106">
        <f>1069000+1205800+1785479+739000+271391+2626970+820000+1869081+805000+1842800+935200+1600000+1309500+383000+376000+185200+1090000+1187000+452000+947151+145000+185200+721693+770000+1187000+1370000+2100000+598800+801617</f>
        <v>29378882</v>
      </c>
      <c r="G28" s="101">
        <f t="shared" si="15"/>
        <v>72.561825559030737</v>
      </c>
      <c r="H28" s="101">
        <f t="shared" ref="H28:H35" si="16">F28/C28*100</f>
        <v>72.561825559030737</v>
      </c>
      <c r="I28" s="102">
        <f>H28-E28</f>
        <v>71.836207303440432</v>
      </c>
      <c r="J28" s="89">
        <f t="shared" si="3"/>
        <v>11109187</v>
      </c>
      <c r="K28" s="12">
        <f t="shared" si="9"/>
        <v>27.438174440969266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1</v>
      </c>
      <c r="E29" s="14">
        <f t="shared" ref="E29:E35" si="18">F29/C29*100%</f>
        <v>1</v>
      </c>
      <c r="F29" s="106">
        <f>4249723+4577000+5601100+2703035+2222000+870288+2844992+2836184+2390000+7589822+2380000+4229300+2645000+3055600+5742325+6109000+6077149+1205400+332000+1670027+6274650+19240448+16278239+3210000+1186716+1474000+1472000+2600000+8112000+1950000+838000+1999150+71314+1159000+2330000+3279167+2185000+4554000+8112500+3624000+2093710+1916950</f>
        <v>163290789</v>
      </c>
      <c r="G29" s="101">
        <f t="shared" si="15"/>
        <v>100</v>
      </c>
      <c r="H29" s="101">
        <f t="shared" si="16"/>
        <v>100</v>
      </c>
      <c r="I29" s="102">
        <f t="shared" ref="I29:I35" si="19">H29-E29</f>
        <v>99</v>
      </c>
      <c r="J29" s="89">
        <f t="shared" si="3"/>
        <v>0</v>
      </c>
      <c r="K29" s="12">
        <f t="shared" si="9"/>
        <v>0</v>
      </c>
      <c r="L29" s="13"/>
      <c r="N29" s="1"/>
    </row>
    <row r="30" spans="1:14" ht="19.149999999999999" customHeight="1">
      <c r="A30" s="10"/>
      <c r="B30" s="48" t="s">
        <v>67</v>
      </c>
      <c r="C30" s="23">
        <v>77077655</v>
      </c>
      <c r="D30" s="14">
        <f t="shared" si="17"/>
        <v>0.79525626460742738</v>
      </c>
      <c r="E30" s="14">
        <f t="shared" si="18"/>
        <v>0.79525626460742738</v>
      </c>
      <c r="F30" s="106">
        <f>3112000+3567351+707283+2239604+918922+2738000+2796490+2082000+1092000+4000000+2206485+2173500+1963700+7973000+1740000+833000+500000+4664000+780000+500000+1557874+1206500+600000+2129500+4664000+1796250+1738500+1016529</f>
        <v>61296488</v>
      </c>
      <c r="G30" s="101">
        <f t="shared" si="15"/>
        <v>79.525626460742743</v>
      </c>
      <c r="H30" s="101">
        <f t="shared" si="16"/>
        <v>79.525626460742743</v>
      </c>
      <c r="I30" s="102">
        <f t="shared" si="19"/>
        <v>78.730370196135311</v>
      </c>
      <c r="J30" s="89">
        <f t="shared" si="3"/>
        <v>15781167</v>
      </c>
      <c r="K30" s="12">
        <f t="shared" si="9"/>
        <v>20.474373539257261</v>
      </c>
      <c r="L30" s="13"/>
      <c r="N30" s="1"/>
    </row>
    <row r="31" spans="1:14" ht="19.149999999999999" customHeight="1">
      <c r="A31" s="10"/>
      <c r="B31" s="48" t="s">
        <v>28</v>
      </c>
      <c r="C31" s="23">
        <v>105357000</v>
      </c>
      <c r="D31" s="14">
        <f t="shared" si="17"/>
        <v>0.93705781295974644</v>
      </c>
      <c r="E31" s="14">
        <f t="shared" si="18"/>
        <v>0.93705781295974644</v>
      </c>
      <c r="F31" s="106">
        <f>7680000+2560000+3200000+1600000+1200000+1500000+1900000+2496000+1200000+11200000+570000+2500000+2500000+2496600+3840000+5760000+2560000+1280000+570000+2560000+1200000+5500000+950000+6720000+5760000+3200000+5500000+2500000+1843000+4480000+1900000</f>
        <v>98725600</v>
      </c>
      <c r="G31" s="101">
        <f t="shared" si="15"/>
        <v>93.705781295974646</v>
      </c>
      <c r="H31" s="101">
        <f t="shared" si="16"/>
        <v>93.705781295974646</v>
      </c>
      <c r="I31" s="102">
        <f t="shared" si="19"/>
        <v>92.768723483014895</v>
      </c>
      <c r="J31" s="89">
        <f t="shared" si="3"/>
        <v>6631400</v>
      </c>
      <c r="K31" s="12">
        <f t="shared" si="9"/>
        <v>6.2942187040253614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0.68010175936593709</v>
      </c>
      <c r="E32" s="14">
        <f t="shared" si="18"/>
        <v>0.68010175936593709</v>
      </c>
      <c r="F32" s="106">
        <f>2135000+1500000+3429552+2344658+3160791+1100000+4966880+1100000+2005050+6997240+900000+4500000+2005250+5000000+2291000+997240+1049000+2400000+2100000+168006+812750+1849998+1500000+2400000+300000+3430000+659143+450000+560245</f>
        <v>62111803</v>
      </c>
      <c r="G32" s="101">
        <f t="shared" si="15"/>
        <v>68.010175936593711</v>
      </c>
      <c r="H32" s="101">
        <f t="shared" si="16"/>
        <v>68.010175936593711</v>
      </c>
      <c r="I32" s="102">
        <f t="shared" si="19"/>
        <v>67.330074177227772</v>
      </c>
      <c r="J32" s="89">
        <f t="shared" si="3"/>
        <v>29215417</v>
      </c>
      <c r="K32" s="12">
        <f t="shared" si="9"/>
        <v>31.989824063406285</v>
      </c>
      <c r="L32" s="13"/>
      <c r="N32" s="1"/>
    </row>
    <row r="33" spans="1:14" ht="19.149999999999999" customHeight="1">
      <c r="A33" s="10"/>
      <c r="B33" s="48" t="s">
        <v>30</v>
      </c>
      <c r="C33" s="23">
        <v>54092153</v>
      </c>
      <c r="D33" s="14">
        <f t="shared" si="17"/>
        <v>0.75934607372718188</v>
      </c>
      <c r="E33" s="14">
        <f t="shared" si="18"/>
        <v>0.75934607372718188</v>
      </c>
      <c r="F33" s="106">
        <f>750000+4453000+927150+834435+1200000+661367+244000+915000+300000+1743042+2000000+271964+7417875+3090500+450000+480000+300000+500000+2400000+480000+568652+793000+1545250+3159500+540000+964236+200000+2400000+278145+596000+222516+244000+145032</f>
        <v>41074664</v>
      </c>
      <c r="G33" s="101">
        <f t="shared" si="15"/>
        <v>75.93460737271819</v>
      </c>
      <c r="H33" s="101">
        <f t="shared" si="16"/>
        <v>75.93460737271819</v>
      </c>
      <c r="I33" s="102">
        <f t="shared" si="19"/>
        <v>75.175261298991003</v>
      </c>
      <c r="J33" s="89">
        <f t="shared" si="3"/>
        <v>13017489</v>
      </c>
      <c r="K33" s="12">
        <f t="shared" si="9"/>
        <v>24.065392627281817</v>
      </c>
      <c r="L33" s="13"/>
      <c r="N33" s="1"/>
    </row>
    <row r="34" spans="1:14" ht="19.149999999999999" customHeight="1">
      <c r="A34" s="10"/>
      <c r="B34" s="48" t="s">
        <v>31</v>
      </c>
      <c r="C34" s="23">
        <v>100200000</v>
      </c>
      <c r="D34" s="14">
        <f t="shared" si="17"/>
        <v>0.94940119760479047</v>
      </c>
      <c r="E34" s="14">
        <f t="shared" si="18"/>
        <v>0.94940119760479047</v>
      </c>
      <c r="F34" s="106">
        <f>7500000+5000000+5000000+5000000+1125000+2500000+2500000+1000000+2500000+2500000+3930000+570000+3000000+2500000+2500000+2500000+2500000+2500000+2500000+900000+2500000+2000000+2000000+5000000+5000000+675000+2500000+1000000+10000000+2000000+2500000+1930000</f>
        <v>95130000</v>
      </c>
      <c r="G34" s="101">
        <f t="shared" si="15"/>
        <v>94.94011976047905</v>
      </c>
      <c r="H34" s="101">
        <f t="shared" si="16"/>
        <v>94.94011976047905</v>
      </c>
      <c r="I34" s="102">
        <f t="shared" si="19"/>
        <v>93.990718562874264</v>
      </c>
      <c r="J34" s="89">
        <f t="shared" si="3"/>
        <v>5070000</v>
      </c>
      <c r="K34" s="12">
        <f t="shared" si="9"/>
        <v>5.0598802395209574</v>
      </c>
      <c r="L34" s="13"/>
      <c r="N34" s="1"/>
    </row>
    <row r="35" spans="1:14" ht="19.149999999999999" customHeight="1">
      <c r="A35" s="10"/>
      <c r="B35" s="48" t="s">
        <v>32</v>
      </c>
      <c r="C35" s="23">
        <v>178795000</v>
      </c>
      <c r="D35" s="14">
        <f t="shared" si="17"/>
        <v>0.89602603540367465</v>
      </c>
      <c r="E35" s="14">
        <f t="shared" si="18"/>
        <v>0.89602603540367465</v>
      </c>
      <c r="F35" s="106">
        <f>1800000+1000000+2770000+600000+2000000+2000000+1900000+3750000+1000000+1500000+550000+600000+3024975+1500000+27500000+1300000+1410000+1440000+1110000+1220000+1070000+1300000+500000+1825000+3000000+2375000+1870000+42450000+1060000+3400000+5000000+4810000+2030000+2410000+1825000+2410000+5210000+375000+5980000+2800000+1470000+2410000+2660000+2410000+1580000</f>
        <v>160204975</v>
      </c>
      <c r="G35" s="101">
        <f t="shared" si="15"/>
        <v>89.602603540367468</v>
      </c>
      <c r="H35" s="101">
        <f t="shared" si="16"/>
        <v>89.602603540367468</v>
      </c>
      <c r="I35" s="102">
        <f t="shared" si="19"/>
        <v>88.706577504963789</v>
      </c>
      <c r="J35" s="89">
        <f t="shared" si="3"/>
        <v>18590025</v>
      </c>
      <c r="K35" s="12">
        <f t="shared" si="9"/>
        <v>10.397396459632539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110067517</v>
      </c>
      <c r="D36" s="38">
        <f>E36</f>
        <v>0.41792529943234752</v>
      </c>
      <c r="E36" s="38">
        <f>F36/C36*100%</f>
        <v>0.41792529943234752</v>
      </c>
      <c r="F36" s="36">
        <f>SUM(F37:F38)</f>
        <v>46000000</v>
      </c>
      <c r="G36" s="36">
        <f>H36</f>
        <v>41.792529943234754</v>
      </c>
      <c r="H36" s="36">
        <f>F36/C36*100</f>
        <v>41.792529943234754</v>
      </c>
      <c r="I36" s="36">
        <f>H36-E36</f>
        <v>41.374604643802407</v>
      </c>
      <c r="J36" s="52">
        <f t="shared" si="3"/>
        <v>64067517</v>
      </c>
      <c r="K36" s="51">
        <f t="shared" si="9"/>
        <v>58.207470056765253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56000000</v>
      </c>
      <c r="D37" s="133">
        <f>E37</f>
        <v>0.8214285714285714</v>
      </c>
      <c r="E37" s="133">
        <f>F37/C37*100%</f>
        <v>0.8214285714285714</v>
      </c>
      <c r="F37" s="134">
        <f>4000000+1000000+20000000+12000000+9000000</f>
        <v>46000000</v>
      </c>
      <c r="G37" s="134">
        <f>H37</f>
        <v>82.142857142857139</v>
      </c>
      <c r="H37" s="134">
        <f>F37/C37*100</f>
        <v>82.142857142857139</v>
      </c>
      <c r="I37" s="134">
        <f>H37-E37</f>
        <v>81.321428571428569</v>
      </c>
      <c r="J37" s="122">
        <f>C37-F37</f>
        <v>10000000</v>
      </c>
      <c r="K37" s="123">
        <f>J37/C37*100</f>
        <v>17.857142857142858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H38-E38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1577292216</v>
      </c>
      <c r="D39" s="38">
        <f>SUM(D40:D42)</f>
        <v>2.5235745750271437</v>
      </c>
      <c r="E39" s="38">
        <f>SUM(E40:E42)</f>
        <v>2.5235745750271437</v>
      </c>
      <c r="F39" s="36">
        <f>SUM(F40:F42)</f>
        <v>1279160178</v>
      </c>
      <c r="G39" s="90">
        <f t="shared" ref="G39:G42" si="20">H39</f>
        <v>81.098490503170012</v>
      </c>
      <c r="H39" s="90">
        <f>F39/C39*100</f>
        <v>81.098490503170012</v>
      </c>
      <c r="I39" s="99">
        <f>H39-E39</f>
        <v>78.574915928142872</v>
      </c>
      <c r="J39" s="52">
        <f t="shared" si="3"/>
        <v>298132038</v>
      </c>
      <c r="K39" s="51">
        <f t="shared" si="9"/>
        <v>18.901509496829977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f>E40</f>
        <v>0.93830173616173618</v>
      </c>
      <c r="E40" s="14">
        <f>F40/C40*100%</f>
        <v>0.93830173616173618</v>
      </c>
      <c r="F40" s="106">
        <f>2000000+1782011+882698+750000+500000+300000+500000+300000+1250000+1250000+2400000+300000+1200000+500000+1600000+1500000+1750000+750000+900000+2500000+300000+750000+1000000+750000+3639485+450000+1860000+2500000+2250000+500000</f>
        <v>36914194</v>
      </c>
      <c r="G40" s="104">
        <f t="shared" si="20"/>
        <v>93.830173616173624</v>
      </c>
      <c r="H40" s="104">
        <f t="shared" ref="H40:H42" si="21">F40/C40*100</f>
        <v>93.830173616173624</v>
      </c>
      <c r="I40" s="105">
        <f>H40-E40</f>
        <v>92.891871880011891</v>
      </c>
      <c r="J40" s="89">
        <f t="shared" si="3"/>
        <v>2427302</v>
      </c>
      <c r="K40" s="12">
        <f t="shared" si="9"/>
        <v>6.16982638382638</v>
      </c>
      <c r="L40" s="13"/>
      <c r="N40" s="1"/>
    </row>
    <row r="41" spans="1:14" ht="19.149999999999999" customHeight="1">
      <c r="A41" s="10"/>
      <c r="B41" s="48" t="s">
        <v>37</v>
      </c>
      <c r="C41" s="23">
        <v>505550720</v>
      </c>
      <c r="D41" s="14">
        <f t="shared" ref="D41:D42" si="22">E41</f>
        <v>0.74858163390608956</v>
      </c>
      <c r="E41" s="14">
        <f t="shared" ref="E41:E42" si="23">F41/C41*100%</f>
        <v>0.74858163390608956</v>
      </c>
      <c r="F41" s="106">
        <f>6786602+3106436+2575000+1023850+2000000+632698+1200000+2047000+3000000+4008704+5000000+5000000+1500000+2700365+84869+5000000+5000000+2808718+3400000+3700000+1000000+2596347+448787+1950000+1637000+3300000+2500000+3084092+6332000+1800000+12510000+3000000+5000000+5020000+5750000+2746884+20845000+455400+579233+2400000+24000000+2000000+3000000+7000000+2325451+1000000+27820000+300000+211598+24000000+20000000+1800000+27400000+27020000+29020000+15000000+23019950</f>
        <v>378445984</v>
      </c>
      <c r="G41" s="104">
        <f t="shared" si="20"/>
        <v>74.858163390608951</v>
      </c>
      <c r="H41" s="104">
        <f t="shared" si="21"/>
        <v>74.858163390608951</v>
      </c>
      <c r="I41" s="105">
        <f t="shared" ref="I41:I42" si="24">H41-E41</f>
        <v>74.109581756702866</v>
      </c>
      <c r="J41" s="89">
        <f t="shared" si="3"/>
        <v>127104736</v>
      </c>
      <c r="K41" s="12">
        <f t="shared" si="9"/>
        <v>25.141836609391042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f t="shared" si="22"/>
        <v>0.83669120495931815</v>
      </c>
      <c r="E42" s="14">
        <f t="shared" si="23"/>
        <v>0.83669120495931815</v>
      </c>
      <c r="F42" s="106">
        <f>6200000+6200000+6200000+6200000+234000000+2710000+78000000+2790000+6200000+78000000+6000000+78000000+6200000+78000000+6200000+2710000+78000000+6200000+78000000+5580000+6200000+78000000+5420000+2790000</f>
        <v>863800000</v>
      </c>
      <c r="G42" s="104">
        <f t="shared" si="20"/>
        <v>83.669120495931821</v>
      </c>
      <c r="H42" s="104">
        <f t="shared" si="21"/>
        <v>83.669120495931821</v>
      </c>
      <c r="I42" s="105">
        <f t="shared" si="24"/>
        <v>82.832429290972499</v>
      </c>
      <c r="J42" s="89">
        <f t="shared" si="3"/>
        <v>168600000</v>
      </c>
      <c r="K42" s="12">
        <f t="shared" si="9"/>
        <v>16.330879504068189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481588000</v>
      </c>
      <c r="D43" s="38">
        <f>E43</f>
        <v>0.92680295605372232</v>
      </c>
      <c r="E43" s="39">
        <f>F43/C43*100%</f>
        <v>0.92680295605372232</v>
      </c>
      <c r="F43" s="37">
        <f>SUM(F44:F48)</f>
        <v>446337182</v>
      </c>
      <c r="G43" s="91">
        <f>H43</f>
        <v>92.680295605372237</v>
      </c>
      <c r="H43" s="91">
        <f>F43/C43*100</f>
        <v>92.680295605372237</v>
      </c>
      <c r="I43" s="91">
        <f>H43-E43</f>
        <v>91.753492649318517</v>
      </c>
      <c r="J43" s="52">
        <f t="shared" si="3"/>
        <v>35250818</v>
      </c>
      <c r="K43" s="51">
        <f t="shared" si="9"/>
        <v>7.3197043946277729</v>
      </c>
      <c r="L43" s="37"/>
      <c r="N43" s="62"/>
    </row>
    <row r="44" spans="1:14" ht="37.15" customHeight="1">
      <c r="A44" s="15"/>
      <c r="B44" s="64" t="s">
        <v>40</v>
      </c>
      <c r="C44" s="24">
        <v>199830000</v>
      </c>
      <c r="D44" s="14">
        <f>E44</f>
        <v>0.97377771105439626</v>
      </c>
      <c r="E44" s="14">
        <f>F44/C44*100%</f>
        <v>0.97377771105439626</v>
      </c>
      <c r="F44" s="107">
        <f>3920000+560000+5000000+4000000+1750000+1920000+2600000+2885000+520000+4100000+4375000+5000000+22070000+12960000+1150000+7300000+1100000+3200000+3320000+9050000+2110000+9720000+125000+2800000+1000000+2650000+5660000+1200000+800000+2000000+600000+18100000+3750000+3400000+1400000+3800000+4030000+4010000+1095000+2800000+12960000+800000+1000000+1150000+3800000+4850000+2200000</f>
        <v>194590000</v>
      </c>
      <c r="G44" s="104">
        <f t="shared" ref="G44:G48" si="25">H44</f>
        <v>97.377771105439621</v>
      </c>
      <c r="H44" s="104">
        <f t="shared" ref="H44:H48" si="26">F44/C44*100</f>
        <v>97.377771105439621</v>
      </c>
      <c r="I44" s="118">
        <f>H44-E44</f>
        <v>96.403993394385225</v>
      </c>
      <c r="J44" s="89">
        <f t="shared" si="3"/>
        <v>5240000</v>
      </c>
      <c r="K44" s="12">
        <f t="shared" si="9"/>
        <v>2.6222288945603762</v>
      </c>
      <c r="L44" s="16"/>
    </row>
    <row r="45" spans="1:14" ht="37.15" customHeight="1">
      <c r="A45" s="15"/>
      <c r="B45" s="199" t="s">
        <v>73</v>
      </c>
      <c r="C45" s="24">
        <v>9240000</v>
      </c>
      <c r="D45" s="14">
        <f t="shared" ref="D45:D48" si="27">E45</f>
        <v>0.38095238095238093</v>
      </c>
      <c r="E45" s="14">
        <f t="shared" ref="E45:E48" si="28">F45/C45*100%</f>
        <v>0.38095238095238093</v>
      </c>
      <c r="F45" s="107">
        <f>1520000+900000+1100000</f>
        <v>3520000</v>
      </c>
      <c r="G45" s="104">
        <f t="shared" si="25"/>
        <v>38.095238095238095</v>
      </c>
      <c r="H45" s="104">
        <f t="shared" si="26"/>
        <v>38.095238095238095</v>
      </c>
      <c r="I45" s="118">
        <f t="shared" ref="I45:I59" si="29">H45-E45</f>
        <v>37.714285714285715</v>
      </c>
      <c r="J45" s="89">
        <f t="shared" si="3"/>
        <v>5720000</v>
      </c>
      <c r="K45" s="12">
        <f t="shared" si="9"/>
        <v>61.904761904761905</v>
      </c>
      <c r="L45" s="16"/>
    </row>
    <row r="46" spans="1:14" ht="19.149999999999999" customHeight="1">
      <c r="A46" s="15"/>
      <c r="B46" s="63" t="s">
        <v>41</v>
      </c>
      <c r="C46" s="24">
        <v>115030000</v>
      </c>
      <c r="D46" s="14">
        <f t="shared" si="27"/>
        <v>0.81570025210814567</v>
      </c>
      <c r="E46" s="14">
        <f t="shared" si="28"/>
        <v>0.81570025210814567</v>
      </c>
      <c r="F46" s="107">
        <f>2640000+550000+6070000+1000000+1050000+4060000+730000+5830000+1540000+1460000+4130000+700000+4000000+3220000+4070000+3280000+1750000+6870000+3210000+1330000+6000000+2190000+5700000+1460000+2410000+2400000+2100000+400000+3980000+5700000+4000000</f>
        <v>93830000</v>
      </c>
      <c r="G46" s="104">
        <f t="shared" si="25"/>
        <v>81.570025210814563</v>
      </c>
      <c r="H46" s="104">
        <f t="shared" si="26"/>
        <v>81.570025210814563</v>
      </c>
      <c r="I46" s="118">
        <f t="shared" si="29"/>
        <v>80.75432495870642</v>
      </c>
      <c r="J46" s="89">
        <f t="shared" si="3"/>
        <v>21200000</v>
      </c>
      <c r="K46" s="12">
        <f t="shared" si="9"/>
        <v>18.42997478918543</v>
      </c>
      <c r="L46" s="16"/>
    </row>
    <row r="47" spans="1:14" ht="19.149999999999999" customHeight="1">
      <c r="A47" s="15"/>
      <c r="B47" s="200" t="s">
        <v>42</v>
      </c>
      <c r="C47" s="24">
        <v>68008000</v>
      </c>
      <c r="D47" s="14">
        <f t="shared" si="27"/>
        <v>1</v>
      </c>
      <c r="E47" s="14">
        <f t="shared" si="28"/>
        <v>1</v>
      </c>
      <c r="F47" s="107">
        <f>23328000+19480000+21600000+3600000</f>
        <v>68008000</v>
      </c>
      <c r="G47" s="104">
        <f t="shared" si="25"/>
        <v>100</v>
      </c>
      <c r="H47" s="104">
        <f t="shared" si="26"/>
        <v>100</v>
      </c>
      <c r="I47" s="118">
        <f t="shared" si="29"/>
        <v>99</v>
      </c>
      <c r="J47" s="89">
        <f t="shared" si="3"/>
        <v>0</v>
      </c>
      <c r="K47" s="12">
        <f t="shared" si="9"/>
        <v>0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7"/>
        <v>0.96545800178810903</v>
      </c>
      <c r="E48" s="14">
        <f t="shared" si="28"/>
        <v>0.96545800178810903</v>
      </c>
      <c r="F48" s="107">
        <f>15390000+4040000+51089182+15870000</f>
        <v>86389182</v>
      </c>
      <c r="G48" s="104">
        <f t="shared" si="25"/>
        <v>96.545800178810907</v>
      </c>
      <c r="H48" s="104">
        <f t="shared" si="26"/>
        <v>96.545800178810907</v>
      </c>
      <c r="I48" s="118">
        <f t="shared" si="29"/>
        <v>95.5803421770228</v>
      </c>
      <c r="J48" s="89">
        <f t="shared" si="3"/>
        <v>3090818</v>
      </c>
      <c r="K48" s="12">
        <f t="shared" si="9"/>
        <v>3.4541998211890927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0.90909090909090906</v>
      </c>
      <c r="E49" s="67">
        <f>E50</f>
        <v>0.35247804582618353</v>
      </c>
      <c r="F49" s="67">
        <f>F50+F52</f>
        <v>137460000</v>
      </c>
      <c r="G49" s="67">
        <f t="shared" ref="G49:H49" si="30">G50</f>
        <v>35.24780458261835</v>
      </c>
      <c r="H49" s="67">
        <f t="shared" si="30"/>
        <v>35.24780458261835</v>
      </c>
      <c r="I49" s="67">
        <f t="shared" si="29"/>
        <v>34.895326536792169</v>
      </c>
      <c r="J49" s="59">
        <f t="shared" si="3"/>
        <v>60552940</v>
      </c>
      <c r="K49" s="58">
        <f t="shared" si="9"/>
        <v>30.580294398941803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0.35247804582618353</v>
      </c>
      <c r="E50" s="109">
        <f>SUM(E51:E51)</f>
        <v>0.35247804582618353</v>
      </c>
      <c r="F50" s="110">
        <f>SUM(F51)</f>
        <v>17460000</v>
      </c>
      <c r="G50" s="110">
        <f t="shared" ref="G50" si="31">SUM(G51)</f>
        <v>35.24780458261835</v>
      </c>
      <c r="H50" s="110">
        <f t="shared" ref="H50:H59" si="32">F50/C50*100</f>
        <v>35.24780458261835</v>
      </c>
      <c r="I50" s="110">
        <f t="shared" si="29"/>
        <v>34.895326536792169</v>
      </c>
      <c r="J50" s="52">
        <f t="shared" si="3"/>
        <v>32075000</v>
      </c>
      <c r="K50" s="51">
        <f t="shared" si="9"/>
        <v>64.752195417381657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0.35247804582618353</v>
      </c>
      <c r="E51" s="108">
        <f>F51/C51*100%</f>
        <v>0.35247804582618353</v>
      </c>
      <c r="F51" s="107">
        <v>17460000</v>
      </c>
      <c r="G51" s="111">
        <f>H51</f>
        <v>35.24780458261835</v>
      </c>
      <c r="H51" s="111">
        <f t="shared" si="32"/>
        <v>35.24780458261835</v>
      </c>
      <c r="I51" s="108">
        <f t="shared" si="29"/>
        <v>34.895326536792169</v>
      </c>
      <c r="J51" s="89">
        <f t="shared" si="3"/>
        <v>32075000</v>
      </c>
      <c r="K51" s="12">
        <f t="shared" si="9"/>
        <v>64.752195417381657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E52</f>
        <v>0.90909090909090906</v>
      </c>
      <c r="E52" s="39">
        <f>E53+E54</f>
        <v>0.90909090909090906</v>
      </c>
      <c r="F52" s="37">
        <f>SUM(F53:F54)</f>
        <v>120000000</v>
      </c>
      <c r="G52" s="37">
        <f>H52</f>
        <v>80.820086808855237</v>
      </c>
      <c r="H52" s="37">
        <f t="shared" si="32"/>
        <v>80.820086808855237</v>
      </c>
      <c r="I52" s="37">
        <f t="shared" si="29"/>
        <v>79.91099589976433</v>
      </c>
      <c r="J52" s="52">
        <f t="shared" si="3"/>
        <v>28477940</v>
      </c>
      <c r="K52" s="51">
        <f t="shared" si="9"/>
        <v>19.17991319114476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4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 t="shared" si="32"/>
        <v>0</v>
      </c>
      <c r="I53" s="108">
        <f t="shared" si="29"/>
        <v>0</v>
      </c>
      <c r="J53" s="89">
        <f t="shared" si="3"/>
        <v>16477940</v>
      </c>
      <c r="K53" s="12">
        <f t="shared" si="9"/>
        <v>100</v>
      </c>
      <c r="L53" s="9"/>
    </row>
    <row r="54" spans="1:14" ht="29.45" customHeight="1">
      <c r="A54" s="15"/>
      <c r="B54" s="64" t="s">
        <v>47</v>
      </c>
      <c r="C54" s="120">
        <v>132000000</v>
      </c>
      <c r="D54" s="14">
        <f t="shared" si="34"/>
        <v>0.90909090909090906</v>
      </c>
      <c r="E54" s="108">
        <f>F54/C54*100%</f>
        <v>0.90909090909090906</v>
      </c>
      <c r="F54" s="107">
        <f>6000000+6000000+6000000+6000000+6000000+6000000+60000000+6000000+6000000+6000000+6000000</f>
        <v>120000000</v>
      </c>
      <c r="G54" s="111">
        <f>H54</f>
        <v>90.909090909090907</v>
      </c>
      <c r="H54" s="111">
        <f t="shared" si="32"/>
        <v>90.909090909090907</v>
      </c>
      <c r="I54" s="108">
        <f t="shared" si="29"/>
        <v>90</v>
      </c>
      <c r="J54" s="89">
        <f t="shared" si="3"/>
        <v>12000000</v>
      </c>
      <c r="K54" s="12">
        <f t="shared" si="9"/>
        <v>9.0909090909090917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5688201574</v>
      </c>
      <c r="D55" s="57">
        <f>D56</f>
        <v>0.77217949598812441</v>
      </c>
      <c r="E55" s="79">
        <f>E56</f>
        <v>0.77217949598812441</v>
      </c>
      <c r="F55" s="113">
        <f>F56+F60</f>
        <v>4342001660</v>
      </c>
      <c r="G55" s="113">
        <f>F55/C55*100</f>
        <v>76.333470315937859</v>
      </c>
      <c r="H55" s="113">
        <f t="shared" si="32"/>
        <v>76.333470315937859</v>
      </c>
      <c r="I55" s="113">
        <f t="shared" si="29"/>
        <v>75.561290819949733</v>
      </c>
      <c r="J55" s="59">
        <f t="shared" si="3"/>
        <v>1346199914</v>
      </c>
      <c r="K55" s="58">
        <f t="shared" si="9"/>
        <v>23.666529684062144</v>
      </c>
      <c r="L55" s="77"/>
    </row>
    <row r="56" spans="1:14" ht="29.45" customHeight="1">
      <c r="A56" s="69" t="s">
        <v>91</v>
      </c>
      <c r="B56" s="204" t="s">
        <v>75</v>
      </c>
      <c r="C56" s="139">
        <f>C57+C58+C59</f>
        <v>5609121644</v>
      </c>
      <c r="D56" s="114">
        <f>E56</f>
        <v>0.77217949598812441</v>
      </c>
      <c r="E56" s="114">
        <f>F56/C56*100%</f>
        <v>0.77217949598812441</v>
      </c>
      <c r="F56" s="140">
        <f>F57+F58+F59</f>
        <v>4331248724</v>
      </c>
      <c r="G56" s="140">
        <f>H56</f>
        <v>77.217949598812439</v>
      </c>
      <c r="H56" s="140">
        <f t="shared" si="32"/>
        <v>77.217949598812439</v>
      </c>
      <c r="I56" s="140">
        <f t="shared" si="29"/>
        <v>76.445770102824312</v>
      </c>
      <c r="J56" s="52">
        <f>C56-F56</f>
        <v>1277872920</v>
      </c>
      <c r="K56" s="51">
        <f t="shared" si="9"/>
        <v>22.782050401187558</v>
      </c>
      <c r="L56" s="141"/>
    </row>
    <row r="57" spans="1:14" s="144" customFormat="1" ht="29.45" customHeight="1">
      <c r="A57" s="142"/>
      <c r="B57" s="136" t="s">
        <v>76</v>
      </c>
      <c r="C57" s="120">
        <v>166218966</v>
      </c>
      <c r="D57" s="112">
        <f>E57</f>
        <v>0.88640675336652019</v>
      </c>
      <c r="E57" s="108">
        <f>F57/C57*100%</f>
        <v>0.88640675336652019</v>
      </c>
      <c r="F57" s="107">
        <f>12811000+10988000+10857940+8474300+11962442+9826442+10322702+14165000+14047965+9530000+10934732+12511000+10906091</f>
        <v>147337614</v>
      </c>
      <c r="G57" s="111">
        <f>H57</f>
        <v>88.640675336652023</v>
      </c>
      <c r="H57" s="111">
        <f t="shared" si="32"/>
        <v>88.640675336652023</v>
      </c>
      <c r="I57" s="108">
        <f t="shared" si="29"/>
        <v>87.754268583285508</v>
      </c>
      <c r="J57" s="122">
        <f>C57-F57</f>
        <v>18881352</v>
      </c>
      <c r="K57" s="123">
        <f t="shared" si="9"/>
        <v>11.359324663347985</v>
      </c>
      <c r="L57" s="143"/>
    </row>
    <row r="58" spans="1:14" s="144" customFormat="1" ht="29.45" customHeight="1">
      <c r="A58" s="142"/>
      <c r="B58" s="136" t="s">
        <v>77</v>
      </c>
      <c r="C58" s="120">
        <v>956340289</v>
      </c>
      <c r="D58" s="112">
        <f t="shared" ref="D58:D59" si="35">E58</f>
        <v>0.84945473106592084</v>
      </c>
      <c r="E58" s="108">
        <f t="shared" ref="E58:E59" si="36">F58/C58*100%</f>
        <v>0.84945473106592084</v>
      </c>
      <c r="F58" s="107">
        <f>33568000+30000000+30398000+30595600+2574500+33881770+23178900+35846000+2755927+39272726+24875310+29952600+34080000+30282000+44394700+54290000+38496025+44250000+7820000+4000000+42255000+7820000+22197350+84970000+15493375+45650000+19470000</f>
        <v>812367783</v>
      </c>
      <c r="G58" s="111">
        <f t="shared" ref="G58:G59" si="37">H58</f>
        <v>84.94547310659209</v>
      </c>
      <c r="H58" s="111">
        <f t="shared" si="32"/>
        <v>84.94547310659209</v>
      </c>
      <c r="I58" s="108">
        <f t="shared" si="29"/>
        <v>84.096018375526171</v>
      </c>
      <c r="J58" s="122">
        <f t="shared" ref="J58:J59" si="38">C58-F58</f>
        <v>143972506</v>
      </c>
      <c r="K58" s="123">
        <f t="shared" si="9"/>
        <v>15.054526893407919</v>
      </c>
      <c r="L58" s="143"/>
    </row>
    <row r="59" spans="1:14" ht="29.45" customHeight="1">
      <c r="A59" s="15"/>
      <c r="B59" s="136" t="s">
        <v>78</v>
      </c>
      <c r="C59" s="120">
        <v>4486562389</v>
      </c>
      <c r="D59" s="112">
        <f t="shared" si="35"/>
        <v>0.75147585939431816</v>
      </c>
      <c r="E59" s="108">
        <f t="shared" si="36"/>
        <v>0.75147585939431816</v>
      </c>
      <c r="F59" s="107">
        <f>47710000+42763636+28800000+56250000+33600000+93150000+12708191+2574500+13500000+37500000+34140000+40200000+44400000+19250000+48150000+44700000+2790000+63000000+38400000+17640000+18624000+21450000+45000000+40200000+28800000+44700000+26550000+29700000+63000000+33600000+38400000+93150000+129840000+13500000+47250000+17460000+47250000+34200000+38400000+92550000+66300000+66300000+50400000+50400000+42900000+42900000+3800000+34200000+37500000+34140000+48000000+38400000+21450000+45000000+40200000+13661500+13661500+44400000+48150000+44700000+28800000+29700000+26550000+63000000+45900000+45900000+45900000+33600000+3230000+38400000+66300000+50400000+93150000+64920000+42900000+64890000+34200000+37500000+24000000+34140000+38400000+21450000+13500000+13500000</f>
        <v>3371543327</v>
      </c>
      <c r="G59" s="111">
        <f t="shared" si="37"/>
        <v>75.147585939431821</v>
      </c>
      <c r="H59" s="111">
        <f t="shared" si="32"/>
        <v>75.147585939431821</v>
      </c>
      <c r="I59" s="108">
        <f t="shared" si="29"/>
        <v>74.396110080037502</v>
      </c>
      <c r="J59" s="122">
        <f t="shared" si="38"/>
        <v>1115019062</v>
      </c>
      <c r="K59" s="123">
        <f t="shared" si="9"/>
        <v>24.852414060568186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0.27312434366455446</v>
      </c>
      <c r="E60" s="109">
        <f>D60</f>
        <v>0.27312434366455446</v>
      </c>
      <c r="F60" s="109">
        <f>SUM(F61:F63)</f>
        <v>10752936</v>
      </c>
      <c r="G60" s="109">
        <f>F60/C60*100</f>
        <v>13.597553766170506</v>
      </c>
      <c r="H60" s="109">
        <f t="shared" ref="H60:I60" si="39">G60</f>
        <v>13.597553766170506</v>
      </c>
      <c r="I60" s="109">
        <f t="shared" si="39"/>
        <v>13.597553766170506</v>
      </c>
      <c r="J60" s="52">
        <f t="shared" si="3"/>
        <v>68326994</v>
      </c>
      <c r="K60" s="51">
        <f t="shared" si="9"/>
        <v>86.402446233829494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0">E61</f>
        <v>0.27312434366455446</v>
      </c>
      <c r="E61" s="108">
        <f>F61/C61*100%</f>
        <v>0.27312434366455446</v>
      </c>
      <c r="F61" s="107">
        <v>10752936</v>
      </c>
      <c r="G61" s="111">
        <f>H61</f>
        <v>27.312434366455445</v>
      </c>
      <c r="H61" s="111">
        <f>F61/C61*100</f>
        <v>27.312434366455445</v>
      </c>
      <c r="I61" s="108">
        <f>E61-H61</f>
        <v>-27.03931002279089</v>
      </c>
      <c r="J61" s="89">
        <f t="shared" si="3"/>
        <v>28617176</v>
      </c>
      <c r="K61" s="12">
        <f t="shared" si="9"/>
        <v>72.687565633544551</v>
      </c>
      <c r="L61" s="9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0"/>
        <v>0</v>
      </c>
      <c r="E62" s="108">
        <f t="shared" ref="E62:E63" si="41">F62/C62*100%</f>
        <v>0</v>
      </c>
      <c r="F62" s="107">
        <v>0</v>
      </c>
      <c r="G62" s="111">
        <f t="shared" ref="G62:G63" si="42">H62</f>
        <v>0</v>
      </c>
      <c r="H62" s="111">
        <f t="shared" ref="H62:H63" si="43">F62/C62*100</f>
        <v>0</v>
      </c>
      <c r="I62" s="108">
        <f t="shared" ref="I62:I63" si="44">E62-H62</f>
        <v>0</v>
      </c>
      <c r="J62" s="89">
        <f t="shared" si="3"/>
        <v>15600000</v>
      </c>
      <c r="K62" s="12">
        <f t="shared" si="9"/>
        <v>100</v>
      </c>
      <c r="L62" s="9"/>
    </row>
    <row r="63" spans="1:14" ht="19.149999999999999" customHeight="1">
      <c r="A63" s="18"/>
      <c r="B63" s="34" t="s">
        <v>70</v>
      </c>
      <c r="C63" s="120">
        <v>24109818</v>
      </c>
      <c r="D63" s="14">
        <f t="shared" si="40"/>
        <v>0</v>
      </c>
      <c r="E63" s="108">
        <f t="shared" si="41"/>
        <v>0</v>
      </c>
      <c r="F63" s="107">
        <v>0</v>
      </c>
      <c r="G63" s="111">
        <f t="shared" si="42"/>
        <v>0</v>
      </c>
      <c r="H63" s="111">
        <f t="shared" si="43"/>
        <v>0</v>
      </c>
      <c r="I63" s="108">
        <f t="shared" si="44"/>
        <v>0</v>
      </c>
      <c r="J63" s="89">
        <f t="shared" si="3"/>
        <v>24109818</v>
      </c>
      <c r="K63" s="12">
        <f t="shared" si="9"/>
        <v>100</v>
      </c>
      <c r="L63" s="202"/>
    </row>
    <row r="64" spans="1:14" ht="19.149999999999999" customHeight="1">
      <c r="A64" s="190" t="s">
        <v>82</v>
      </c>
      <c r="B64" s="76" t="s">
        <v>137</v>
      </c>
      <c r="C64" s="196">
        <f>C65</f>
        <v>1153650280</v>
      </c>
      <c r="D64" s="191">
        <f>D65</f>
        <v>0.95007585834417685</v>
      </c>
      <c r="E64" s="191">
        <f t="shared" ref="E64:K64" si="45">E65</f>
        <v>0.95007585834417685</v>
      </c>
      <c r="F64" s="191">
        <f t="shared" si="45"/>
        <v>1096055280</v>
      </c>
      <c r="G64" s="191">
        <f t="shared" si="45"/>
        <v>95.007585834417682</v>
      </c>
      <c r="H64" s="191">
        <f t="shared" si="45"/>
        <v>95.007585834417682</v>
      </c>
      <c r="I64" s="191">
        <f t="shared" si="45"/>
        <v>95.007585834417682</v>
      </c>
      <c r="J64" s="191">
        <f t="shared" si="45"/>
        <v>57595000</v>
      </c>
      <c r="K64" s="191">
        <f t="shared" si="45"/>
        <v>4.9924141655823115</v>
      </c>
      <c r="L64" s="191"/>
    </row>
    <row r="65" spans="1:12" ht="19.149999999999999" customHeight="1">
      <c r="A65" s="192" t="s">
        <v>93</v>
      </c>
      <c r="B65" s="29" t="s">
        <v>142</v>
      </c>
      <c r="C65" s="195">
        <f>C66+C67</f>
        <v>1153650280</v>
      </c>
      <c r="D65" s="38">
        <f>E65</f>
        <v>0.95007585834417685</v>
      </c>
      <c r="E65" s="109">
        <f>F65/C65*100%</f>
        <v>0.95007585834417685</v>
      </c>
      <c r="F65" s="109">
        <f>F66+F67</f>
        <v>1096055280</v>
      </c>
      <c r="G65" s="197">
        <f>H65</f>
        <v>95.007585834417682</v>
      </c>
      <c r="H65" s="109">
        <f>F65/C65*100</f>
        <v>95.007585834417682</v>
      </c>
      <c r="I65" s="109">
        <f>H65</f>
        <v>95.007585834417682</v>
      </c>
      <c r="J65" s="52">
        <f t="shared" ref="J65:J67" si="46">C65-F65</f>
        <v>57595000</v>
      </c>
      <c r="K65" s="51">
        <f t="shared" ref="K65:K67" si="47">J65/C65*100</f>
        <v>4.9924141655823115</v>
      </c>
      <c r="L65" s="73"/>
    </row>
    <row r="66" spans="1:12" ht="36" customHeight="1">
      <c r="A66" s="189"/>
      <c r="B66" s="194" t="s">
        <v>143</v>
      </c>
      <c r="C66" s="188">
        <v>917249280</v>
      </c>
      <c r="D66" s="14">
        <f t="shared" ref="D66:D67" si="48">E66</f>
        <v>1</v>
      </c>
      <c r="E66" s="108">
        <f>F66/C66*100%</f>
        <v>1</v>
      </c>
      <c r="F66" s="107">
        <f>13051100+14945000+42060220+11030000+13016640+13450000+21694530+20360000+15765000+120607500+13459220+15200000+1500000+18850000+6173280+4995000+4193280+6300000+23964400+17740000+9107500+9257500+2025000+24157720+16365000+21676000+4200000+16050000+10635000+19690000+3417500+9450000+14465000+11520000+2850000+12475000+26900000+8192500+17350000+9400000+19690000+6372500+12447500+6300000+16650000+14000000+2250000+27235000+26900000+8460000+16950000+35396640+10500000+13650000+17051250+35857500</f>
        <v>917249280</v>
      </c>
      <c r="G66" s="111">
        <f>H66</f>
        <v>100</v>
      </c>
      <c r="H66" s="111">
        <f>F66/C66*100</f>
        <v>100</v>
      </c>
      <c r="I66" s="108">
        <f>H66-E66</f>
        <v>99</v>
      </c>
      <c r="J66" s="89">
        <f t="shared" si="46"/>
        <v>0</v>
      </c>
      <c r="K66" s="12">
        <f t="shared" si="47"/>
        <v>0</v>
      </c>
      <c r="L66" s="16"/>
    </row>
    <row r="67" spans="1:12" ht="19.149999999999999" customHeight="1">
      <c r="A67" s="189"/>
      <c r="B67" s="193" t="s">
        <v>144</v>
      </c>
      <c r="C67" s="188">
        <v>236401000</v>
      </c>
      <c r="D67" s="14">
        <f t="shared" si="48"/>
        <v>0.75636735885211992</v>
      </c>
      <c r="E67" s="108">
        <f t="shared" ref="E67" si="49">F67/C67*100%</f>
        <v>0.75636735885211992</v>
      </c>
      <c r="F67" s="107">
        <f>5420000+4462500+8045000+7118000+22365000+6710000+11151500+8220000+10150000+7415000+4800000+3420000+2920000+2250000+4750000+2475000+1270000+2450000+7525000+4900000+2920000+7754000+2710000+7710000+12250000+6850000+5375000+5420000</f>
        <v>178806000</v>
      </c>
      <c r="G67" s="111">
        <f t="shared" ref="G67" si="50">H67</f>
        <v>75.636735885211991</v>
      </c>
      <c r="H67" s="111">
        <f t="shared" ref="H67" si="51">F67/C67*100</f>
        <v>75.636735885211991</v>
      </c>
      <c r="I67" s="108">
        <f>H67-E67</f>
        <v>74.880368526359874</v>
      </c>
      <c r="J67" s="89">
        <f t="shared" si="46"/>
        <v>57595000</v>
      </c>
      <c r="K67" s="12">
        <f t="shared" si="47"/>
        <v>24.363264114788009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0.69084957971732786</v>
      </c>
      <c r="E68" s="79">
        <f>F68/C68*100%</f>
        <v>0.69084957971732786</v>
      </c>
      <c r="F68" s="80">
        <f>F69</f>
        <v>207690800</v>
      </c>
      <c r="G68" s="80">
        <f t="shared" ref="G68:H68" si="52">G69</f>
        <v>69.084957971732791</v>
      </c>
      <c r="H68" s="80">
        <f t="shared" si="52"/>
        <v>69.084957971732791</v>
      </c>
      <c r="I68" s="80">
        <f>H68-E68</f>
        <v>68.394108392015468</v>
      </c>
      <c r="J68" s="59">
        <f t="shared" si="3"/>
        <v>92940200</v>
      </c>
      <c r="K68" s="58">
        <f t="shared" si="9"/>
        <v>30.915042028267209</v>
      </c>
      <c r="L68" s="82"/>
    </row>
    <row r="69" spans="1:12" ht="37.15" customHeight="1">
      <c r="A69" s="70" t="s">
        <v>139</v>
      </c>
      <c r="B69" s="205" t="s">
        <v>71</v>
      </c>
      <c r="C69" s="84">
        <f>SUM(C70:C72)</f>
        <v>300631000</v>
      </c>
      <c r="D69" s="114">
        <f>E69</f>
        <v>0.69084957971732786</v>
      </c>
      <c r="E69" s="114">
        <f>F69/C69*100%</f>
        <v>0.69084957971732786</v>
      </c>
      <c r="F69" s="114">
        <f>SUM(F70:F72)</f>
        <v>207690800</v>
      </c>
      <c r="G69" s="114">
        <f>H69</f>
        <v>69.084957971732791</v>
      </c>
      <c r="H69" s="114">
        <f>F69/C69*100</f>
        <v>69.084957971732791</v>
      </c>
      <c r="I69" s="114">
        <f>H69-E69</f>
        <v>68.394108392015468</v>
      </c>
      <c r="J69" s="52">
        <f t="shared" si="3"/>
        <v>92940200</v>
      </c>
      <c r="K69" s="51">
        <f t="shared" si="9"/>
        <v>30.915042028267209</v>
      </c>
      <c r="L69" s="83"/>
    </row>
    <row r="70" spans="1:12" ht="76.150000000000006" customHeight="1">
      <c r="A70" s="43"/>
      <c r="B70" s="64" t="s">
        <v>52</v>
      </c>
      <c r="C70" s="26">
        <v>99126000</v>
      </c>
      <c r="D70" s="14">
        <f t="shared" ref="D70:D72" si="53">E70</f>
        <v>0.52508928030990865</v>
      </c>
      <c r="E70" s="108">
        <f>F70/C70*100%</f>
        <v>0.52508928030990865</v>
      </c>
      <c r="F70" s="115">
        <v>52050000</v>
      </c>
      <c r="G70" s="116">
        <f>H70</f>
        <v>52.508928030990866</v>
      </c>
      <c r="H70" s="116">
        <f>F70/C70*100</f>
        <v>52.508928030990866</v>
      </c>
      <c r="I70" s="108">
        <f>H70-E70</f>
        <v>51.98383875068096</v>
      </c>
      <c r="J70" s="89">
        <f t="shared" si="3"/>
        <v>47076000</v>
      </c>
      <c r="K70" s="12">
        <f t="shared" si="9"/>
        <v>47.491071969009141</v>
      </c>
      <c r="L70" s="19"/>
    </row>
    <row r="71" spans="1:12" ht="48" customHeight="1">
      <c r="A71" s="41"/>
      <c r="B71" s="64" t="s">
        <v>53</v>
      </c>
      <c r="C71" s="26">
        <v>163575000</v>
      </c>
      <c r="D71" s="14">
        <f>E71</f>
        <v>0.7845991135564726</v>
      </c>
      <c r="E71" s="108">
        <f t="shared" ref="E71:E72" si="54">F71/C71*100%</f>
        <v>0.7845991135564726</v>
      </c>
      <c r="F71" s="115">
        <f>24460800+3200000+75440000+15000000+10240000</f>
        <v>128340800</v>
      </c>
      <c r="G71" s="116">
        <f t="shared" ref="G71:G72" si="55">H71</f>
        <v>78.459911355647264</v>
      </c>
      <c r="H71" s="116">
        <f t="shared" ref="H71:H72" si="56">F71/C71*100</f>
        <v>78.459911355647264</v>
      </c>
      <c r="I71" s="108">
        <f t="shared" ref="I71:I72" si="57">H71-E71</f>
        <v>77.675312242090797</v>
      </c>
      <c r="J71" s="89">
        <f t="shared" si="3"/>
        <v>35234200</v>
      </c>
      <c r="K71" s="12">
        <f t="shared" si="9"/>
        <v>21.540088644352743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53"/>
        <v>0.71974690218824144</v>
      </c>
      <c r="E72" s="108">
        <f t="shared" si="54"/>
        <v>0.71974690218824144</v>
      </c>
      <c r="F72" s="115">
        <f>9100000+9100000+9100000</f>
        <v>27300000</v>
      </c>
      <c r="G72" s="116">
        <f t="shared" si="55"/>
        <v>71.974690218824151</v>
      </c>
      <c r="H72" s="116">
        <f t="shared" si="56"/>
        <v>71.974690218824151</v>
      </c>
      <c r="I72" s="108">
        <f t="shared" si="57"/>
        <v>71.254943316635902</v>
      </c>
      <c r="J72" s="125">
        <f t="shared" si="3"/>
        <v>10630000</v>
      </c>
      <c r="K72" s="7">
        <f t="shared" si="9"/>
        <v>28.025309781175849</v>
      </c>
      <c r="L72" s="19"/>
    </row>
    <row r="73" spans="1:12">
      <c r="G73" s="117"/>
      <c r="H73" s="117"/>
    </row>
    <row r="74" spans="1:12">
      <c r="G74" s="117"/>
      <c r="H74" s="117"/>
      <c r="I74" s="232" t="s">
        <v>150</v>
      </c>
      <c r="J74" s="232"/>
      <c r="K74" s="232"/>
    </row>
    <row r="75" spans="1:12">
      <c r="G75" s="117"/>
      <c r="H75" s="117"/>
    </row>
    <row r="76" spans="1:12">
      <c r="G76" s="117"/>
      <c r="H76" s="117"/>
      <c r="I76" s="232" t="s">
        <v>145</v>
      </c>
      <c r="J76" s="232"/>
      <c r="K76" s="232"/>
    </row>
    <row r="77" spans="1:12">
      <c r="G77" s="117"/>
      <c r="H77" s="117"/>
      <c r="I77" s="232" t="s">
        <v>146</v>
      </c>
      <c r="J77" s="232"/>
      <c r="K77" s="232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  <c r="I81" s="231" t="s">
        <v>147</v>
      </c>
      <c r="J81" s="231"/>
      <c r="K81" s="231"/>
    </row>
    <row r="82" spans="1:14">
      <c r="G82" s="117"/>
      <c r="H82" s="117"/>
      <c r="I82" s="232" t="s">
        <v>148</v>
      </c>
      <c r="J82" s="232"/>
      <c r="K82" s="232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8">
    <mergeCell ref="I81:K81"/>
    <mergeCell ref="I82:K82"/>
    <mergeCell ref="D8:E8"/>
    <mergeCell ref="F8:H8"/>
    <mergeCell ref="A12:B12"/>
    <mergeCell ref="I74:K74"/>
    <mergeCell ref="I76:K76"/>
    <mergeCell ref="I77:K77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300" r:id="rId1"/>
  <rowBreaks count="1" manualBreakCount="1">
    <brk id="39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zoomScale="80" zoomScaleSheetLayoutView="80" workbookViewId="0">
      <selection activeCell="F41" sqref="F41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2.710937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2" max="12" width="15.5703125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154</v>
      </c>
      <c r="N5" s="44"/>
    </row>
    <row r="6" spans="1:14">
      <c r="A6" s="4"/>
      <c r="C6" s="22"/>
      <c r="J6" s="3" t="s">
        <v>3</v>
      </c>
      <c r="K6" s="3" t="s">
        <v>153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207" t="s">
        <v>8</v>
      </c>
      <c r="C10" s="129">
        <f>C11</f>
        <v>19475500015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207" t="s">
        <v>9</v>
      </c>
      <c r="C11" s="129">
        <f>C12</f>
        <v>19475500015</v>
      </c>
      <c r="D11" s="94">
        <f t="shared" ref="D11:I11" si="0">D12</f>
        <v>0.73207326174007858</v>
      </c>
      <c r="E11" s="94">
        <f t="shared" si="0"/>
        <v>0.73207326174007858</v>
      </c>
      <c r="F11" s="94">
        <f t="shared" si="0"/>
        <v>14257492820</v>
      </c>
      <c r="G11" s="94">
        <f t="shared" si="0"/>
        <v>73.207326174007861</v>
      </c>
      <c r="H11" s="94">
        <f t="shared" si="0"/>
        <v>73.207326174007861</v>
      </c>
      <c r="I11" s="94">
        <f t="shared" si="0"/>
        <v>72.475252912267777</v>
      </c>
      <c r="J11" s="6">
        <f>C11-F11</f>
        <v>5218007195</v>
      </c>
      <c r="K11" s="6">
        <f>J11/C11*100</f>
        <v>26.792673825992136</v>
      </c>
      <c r="L11" s="9"/>
      <c r="N11" s="1"/>
    </row>
    <row r="12" spans="1:14" ht="36" customHeight="1">
      <c r="A12" s="236" t="s">
        <v>66</v>
      </c>
      <c r="B12" s="237"/>
      <c r="C12" s="127">
        <f>C13+C49+C55+C64+C68</f>
        <v>19475500015</v>
      </c>
      <c r="D12" s="126">
        <f>E12</f>
        <v>0.73207326174007858</v>
      </c>
      <c r="E12" s="126">
        <f>F12/C12*100%</f>
        <v>0.73207326174007858</v>
      </c>
      <c r="F12" s="126">
        <f>F13+F68+F49+F55+F64</f>
        <v>14257492820</v>
      </c>
      <c r="G12" s="126">
        <f>H12</f>
        <v>73.207326174007861</v>
      </c>
      <c r="H12" s="126">
        <f>F12/C12*100</f>
        <v>73.207326174007861</v>
      </c>
      <c r="I12" s="126">
        <f>H12-E12</f>
        <v>72.475252912267777</v>
      </c>
      <c r="J12" s="126">
        <f>J13+J68+J49+J55+J64</f>
        <v>5218007195</v>
      </c>
      <c r="K12" s="146">
        <f>J12/C12*100</f>
        <v>26.792673825992136</v>
      </c>
      <c r="L12" s="203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12135004221</v>
      </c>
      <c r="D13" s="57">
        <f>E13</f>
        <v>0.75624554782756837</v>
      </c>
      <c r="E13" s="57">
        <f>F13/C13*100%</f>
        <v>0.75624554782756837</v>
      </c>
      <c r="F13" s="57">
        <f t="shared" si="1"/>
        <v>9177042915</v>
      </c>
      <c r="G13" s="57">
        <f>H13</f>
        <v>75.624554782756832</v>
      </c>
      <c r="H13" s="57">
        <f>F13/C13*100</f>
        <v>75.624554782756832</v>
      </c>
      <c r="I13" s="57">
        <f>H13-E13</f>
        <v>74.868309234929256</v>
      </c>
      <c r="J13" s="59">
        <f>C13-F13</f>
        <v>2957961306</v>
      </c>
      <c r="K13" s="58">
        <f>J13/C13*100</f>
        <v>24.375445217243158</v>
      </c>
      <c r="L13" s="58"/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F14" si="2">SUM(C15:C20)</f>
        <v>140773000</v>
      </c>
      <c r="D14" s="38">
        <f>E14</f>
        <v>0.48500067484531834</v>
      </c>
      <c r="E14" s="38">
        <f>F14/C14*100%</f>
        <v>0.48500067484531834</v>
      </c>
      <c r="F14" s="36">
        <f t="shared" si="2"/>
        <v>68275000</v>
      </c>
      <c r="G14" s="90">
        <f>H14</f>
        <v>48.500067484531833</v>
      </c>
      <c r="H14" s="90">
        <f>F14/C14*100</f>
        <v>48.500067484531833</v>
      </c>
      <c r="I14" s="99">
        <f>H14-E14</f>
        <v>48.015066809686516</v>
      </c>
      <c r="J14" s="52">
        <f>C14-F14</f>
        <v>72498000</v>
      </c>
      <c r="K14" s="51">
        <f>J14/C14*100</f>
        <v>51.49993251546816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208">
        <f>E15</f>
        <v>0.52797622151535695</v>
      </c>
      <c r="E15" s="208">
        <f>F15/C15*100%</f>
        <v>0.52797622151535695</v>
      </c>
      <c r="F15" s="209">
        <f>4500000+4500000+4500000+4500000+4500000+4500000+4500000+4500000+4500000</f>
        <v>40500000</v>
      </c>
      <c r="G15" s="210">
        <f>H15</f>
        <v>52.797622151535691</v>
      </c>
      <c r="H15" s="210">
        <f>F15/C15*100</f>
        <v>52.797622151535691</v>
      </c>
      <c r="I15" s="102">
        <f>H15-E15</f>
        <v>52.269645930020332</v>
      </c>
      <c r="J15" s="89">
        <f t="shared" ref="J15:J72" si="3">C15-F15</f>
        <v>36208000</v>
      </c>
      <c r="K15" s="12">
        <f>J15/C15*100</f>
        <v>47.202377848464309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208">
        <f t="shared" ref="D16:D20" si="4">E16</f>
        <v>0.72789115646258506</v>
      </c>
      <c r="E16" s="208">
        <f t="shared" ref="E16:E20" si="5">F16/C16*100%</f>
        <v>0.72789115646258506</v>
      </c>
      <c r="F16" s="209">
        <v>5350000</v>
      </c>
      <c r="G16" s="210">
        <f t="shared" ref="G16:G21" si="6">H16</f>
        <v>72.789115646258509</v>
      </c>
      <c r="H16" s="210">
        <f t="shared" ref="H16:H20" si="7">F16/C16*100</f>
        <v>72.789115646258509</v>
      </c>
      <c r="I16" s="102">
        <f t="shared" ref="I16:I20" si="8">H16-E16</f>
        <v>72.061224489795919</v>
      </c>
      <c r="J16" s="89">
        <f t="shared" si="3"/>
        <v>2000000</v>
      </c>
      <c r="K16" s="12">
        <f t="shared" ref="K16:K72" si="9">J16/C16*100</f>
        <v>27.210884353741498</v>
      </c>
      <c r="L16" s="202"/>
      <c r="N16" s="1"/>
    </row>
    <row r="17" spans="1:14" ht="19.149999999999999" customHeight="1">
      <c r="A17" s="10"/>
      <c r="B17" s="48" t="s">
        <v>15</v>
      </c>
      <c r="C17" s="23">
        <v>8450000</v>
      </c>
      <c r="D17" s="208">
        <f t="shared" si="4"/>
        <v>1</v>
      </c>
      <c r="E17" s="208">
        <f t="shared" si="5"/>
        <v>1</v>
      </c>
      <c r="F17" s="209">
        <v>8450000</v>
      </c>
      <c r="G17" s="210">
        <f t="shared" si="6"/>
        <v>100</v>
      </c>
      <c r="H17" s="210">
        <f t="shared" si="7"/>
        <v>100</v>
      </c>
      <c r="I17" s="102">
        <f t="shared" si="8"/>
        <v>99</v>
      </c>
      <c r="J17" s="89">
        <f t="shared" si="3"/>
        <v>0</v>
      </c>
      <c r="K17" s="12">
        <f t="shared" si="9"/>
        <v>0</v>
      </c>
      <c r="L17" s="202"/>
      <c r="N17" s="1"/>
    </row>
    <row r="18" spans="1:14" ht="19.149999999999999" customHeight="1">
      <c r="A18" s="10"/>
      <c r="B18" s="48" t="s">
        <v>16</v>
      </c>
      <c r="C18" s="23">
        <v>7350000</v>
      </c>
      <c r="D18" s="208">
        <f t="shared" si="4"/>
        <v>1</v>
      </c>
      <c r="E18" s="208">
        <f t="shared" si="5"/>
        <v>1</v>
      </c>
      <c r="F18" s="209">
        <f>5275000+2075000</f>
        <v>7350000</v>
      </c>
      <c r="G18" s="210">
        <f t="shared" si="6"/>
        <v>100</v>
      </c>
      <c r="H18" s="210">
        <f t="shared" si="7"/>
        <v>100</v>
      </c>
      <c r="I18" s="102">
        <f t="shared" si="8"/>
        <v>99</v>
      </c>
      <c r="J18" s="89">
        <f t="shared" si="3"/>
        <v>0</v>
      </c>
      <c r="K18" s="12">
        <f t="shared" si="9"/>
        <v>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211">
        <f t="shared" si="4"/>
        <v>0.78402366863905326</v>
      </c>
      <c r="E19" s="211">
        <f t="shared" si="5"/>
        <v>0.78402366863905326</v>
      </c>
      <c r="F19" s="212">
        <v>6625000</v>
      </c>
      <c r="G19" s="213">
        <f t="shared" si="6"/>
        <v>78.402366863905328</v>
      </c>
      <c r="H19" s="213">
        <f t="shared" si="7"/>
        <v>78.402366863905328</v>
      </c>
      <c r="I19" s="102">
        <f t="shared" si="8"/>
        <v>77.618343195266277</v>
      </c>
      <c r="J19" s="89">
        <f t="shared" si="3"/>
        <v>1825000</v>
      </c>
      <c r="K19" s="12">
        <f t="shared" si="9"/>
        <v>21.597633136094675</v>
      </c>
      <c r="L19" s="202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202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8992135602</v>
      </c>
      <c r="D21" s="38">
        <f>SUM(D22:D24)</f>
        <v>1.2637868098711886</v>
      </c>
      <c r="E21" s="38">
        <f>SUM(E22:E24)</f>
        <v>1.2637868098711886</v>
      </c>
      <c r="F21" s="36">
        <f>SUM(F22:F24)</f>
        <v>7220493439</v>
      </c>
      <c r="G21" s="90">
        <f t="shared" si="6"/>
        <v>80.297870923944288</v>
      </c>
      <c r="H21" s="90">
        <f>F21/C21*100</f>
        <v>80.297870923944288</v>
      </c>
      <c r="I21" s="99">
        <f>H21-E21</f>
        <v>79.034084114073096</v>
      </c>
      <c r="J21" s="52">
        <f t="shared" si="3"/>
        <v>1771642163</v>
      </c>
      <c r="K21" s="51">
        <f t="shared" si="9"/>
        <v>19.702129076055719</v>
      </c>
      <c r="L21" s="53"/>
      <c r="N21" s="46"/>
    </row>
    <row r="22" spans="1:14" ht="19.149999999999999" customHeight="1">
      <c r="A22" s="10"/>
      <c r="B22" s="48" t="s">
        <v>20</v>
      </c>
      <c r="C22" s="23">
        <v>8943270602</v>
      </c>
      <c r="D22" s="85">
        <f>E22</f>
        <v>0.80560499168937039</v>
      </c>
      <c r="E22" s="85">
        <f>F22/C22*100%</f>
        <v>0.80560499168937039</v>
      </c>
      <c r="F22" s="103">
        <f>586844600+275805000+987621900+615632300+876761900+5170800+589503100+343100000+520316000+343100000+247038500+343100000+247145500+338100000+247145500+638358339</f>
        <v>7204743439</v>
      </c>
      <c r="G22" s="104">
        <f>H22</f>
        <v>80.560499168937042</v>
      </c>
      <c r="H22" s="104">
        <f>F22/C22*100</f>
        <v>80.560499168937042</v>
      </c>
      <c r="I22" s="105">
        <f>H22-E22</f>
        <v>79.754894177247678</v>
      </c>
      <c r="J22" s="89">
        <f t="shared" si="3"/>
        <v>1738527163</v>
      </c>
      <c r="K22" s="12">
        <f t="shared" si="9"/>
        <v>19.439500831062968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H23-E23</f>
        <v>0</v>
      </c>
      <c r="J23" s="89">
        <f t="shared" si="3"/>
        <v>14490000</v>
      </c>
      <c r="K23" s="12">
        <f t="shared" si="9"/>
        <v>100</v>
      </c>
      <c r="L23" s="202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0.45818181818181819</v>
      </c>
      <c r="E24" s="85">
        <f t="shared" si="11"/>
        <v>0.45818181818181819</v>
      </c>
      <c r="F24" s="103">
        <f>1750000+1750000+1750000+1750000+1750000+1750000+1750000+1750000+1750000</f>
        <v>15750000</v>
      </c>
      <c r="G24" s="104">
        <f t="shared" si="12"/>
        <v>45.81818181818182</v>
      </c>
      <c r="H24" s="104">
        <f t="shared" si="13"/>
        <v>45.81818181818182</v>
      </c>
      <c r="I24" s="105">
        <f t="shared" si="14"/>
        <v>45.36</v>
      </c>
      <c r="J24" s="89">
        <f t="shared" si="3"/>
        <v>18625000</v>
      </c>
      <c r="K24" s="12">
        <f t="shared" si="9"/>
        <v>54.181818181818187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0.59946714031971582</v>
      </c>
      <c r="E25" s="38">
        <f>E26</f>
        <v>0.59946714031971582</v>
      </c>
      <c r="F25" s="36">
        <f>F26</f>
        <v>13500000</v>
      </c>
      <c r="G25" s="90">
        <f>H25</f>
        <v>59.946714031971581</v>
      </c>
      <c r="H25" s="90">
        <f>F25/C25*100</f>
        <v>59.946714031971581</v>
      </c>
      <c r="I25" s="99">
        <f>H25-E25</f>
        <v>59.347246891651864</v>
      </c>
      <c r="J25" s="52">
        <f t="shared" si="3"/>
        <v>9020000</v>
      </c>
      <c r="K25" s="51">
        <f t="shared" si="9"/>
        <v>40.053285968028419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98">
        <f>E26</f>
        <v>0.59946714031971582</v>
      </c>
      <c r="E26" s="198">
        <f>F26/C26*100%</f>
        <v>0.59946714031971582</v>
      </c>
      <c r="F26" s="134">
        <f>1500000+1500000+1500000+1500000+1500000+1500000+1500000+1500000+1500000</f>
        <v>13500000</v>
      </c>
      <c r="G26" s="101">
        <f>H26</f>
        <v>59.946714031971581</v>
      </c>
      <c r="H26" s="101">
        <f>F26/C26*100</f>
        <v>59.946714031971581</v>
      </c>
      <c r="I26" s="102">
        <f>H26-E26</f>
        <v>59.347246891651864</v>
      </c>
      <c r="J26" s="89">
        <f t="shared" si="3"/>
        <v>9020000</v>
      </c>
      <c r="K26" s="12">
        <f t="shared" si="9"/>
        <v>40.053285968028419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810627886</v>
      </c>
      <c r="D27" s="38">
        <f>E27</f>
        <v>0.65316479872492317</v>
      </c>
      <c r="E27" s="38">
        <f>F27/C27*100%</f>
        <v>0.65316479872492317</v>
      </c>
      <c r="F27" s="36">
        <f>SUM(F28:F35)</f>
        <v>529473600</v>
      </c>
      <c r="G27" s="90">
        <f t="shared" ref="G27:G35" si="15">H27</f>
        <v>65.316479872492323</v>
      </c>
      <c r="H27" s="90">
        <f>F27/C27*100</f>
        <v>65.316479872492323</v>
      </c>
      <c r="I27" s="99">
        <f>H27-E27</f>
        <v>64.663315073767393</v>
      </c>
      <c r="J27" s="52">
        <f t="shared" si="3"/>
        <v>281154286</v>
      </c>
      <c r="K27" s="51">
        <f t="shared" si="9"/>
        <v>34.683520127507677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0.50761672531233826</v>
      </c>
      <c r="E28" s="14">
        <f>F28/C28*100%</f>
        <v>0.50761672531233826</v>
      </c>
      <c r="F28" s="106">
        <f>1069000+1205800+1785479+739000+271391+2626970+820000+1869081+805000+1842800+935200+1600000+1309500+383000+376000+185200+1090000+1187000+452000</f>
        <v>20552421</v>
      </c>
      <c r="G28" s="101">
        <f t="shared" si="15"/>
        <v>50.761672531233827</v>
      </c>
      <c r="H28" s="101">
        <f t="shared" ref="H28:H35" si="16">F28/C28*100</f>
        <v>50.761672531233827</v>
      </c>
      <c r="I28" s="102">
        <f>H28-E28</f>
        <v>50.254055805921489</v>
      </c>
      <c r="J28" s="89">
        <f t="shared" si="3"/>
        <v>19935648</v>
      </c>
      <c r="K28" s="12">
        <f t="shared" si="9"/>
        <v>49.238327468766165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0.89594534937301329</v>
      </c>
      <c r="E29" s="14">
        <f t="shared" ref="E29:E35" si="18">F29/C29*100%</f>
        <v>0.89594534937301329</v>
      </c>
      <c r="F29" s="106">
        <f>4249723+4577000+5601100+4619985+2222000+870288+2844992+7535999+2390000+7589822+2380000+4229300+2645000+3055600+5742325+6109000+6077149+1205400+332000+1670027+9898650+19240448+18371949+3210000+1186716+1474000+1472000+2600000+8112000+1950000+838000+1999150</f>
        <v>146299623</v>
      </c>
      <c r="G29" s="101">
        <f t="shared" si="15"/>
        <v>89.594534937301333</v>
      </c>
      <c r="H29" s="101">
        <f t="shared" si="16"/>
        <v>89.594534937301333</v>
      </c>
      <c r="I29" s="102">
        <f t="shared" ref="I29:I35" si="19">H29-E29</f>
        <v>88.698589587928325</v>
      </c>
      <c r="J29" s="89">
        <f t="shared" si="3"/>
        <v>16991166</v>
      </c>
      <c r="K29" s="12">
        <f t="shared" si="9"/>
        <v>10.405465062698669</v>
      </c>
      <c r="L29" s="13"/>
      <c r="N29" s="1"/>
    </row>
    <row r="30" spans="1:14" ht="19.149999999999999" customHeight="1">
      <c r="A30" s="10"/>
      <c r="B30" s="48" t="s">
        <v>67</v>
      </c>
      <c r="C30" s="23">
        <v>77077655</v>
      </c>
      <c r="D30" s="14">
        <f t="shared" si="17"/>
        <v>0.58781413368115576</v>
      </c>
      <c r="E30" s="14">
        <f t="shared" si="18"/>
        <v>0.58781413368115576</v>
      </c>
      <c r="F30" s="106">
        <f>3112000+3567351+707283+2239604+918922+2738000+2796490+2082000+1092000+4000000+2206485+2173500+1963700+7973000+1740000+833000+500000+4664000</f>
        <v>45307335</v>
      </c>
      <c r="G30" s="101">
        <f t="shared" si="15"/>
        <v>58.781413368115579</v>
      </c>
      <c r="H30" s="101">
        <f t="shared" si="16"/>
        <v>58.781413368115579</v>
      </c>
      <c r="I30" s="102">
        <f t="shared" si="19"/>
        <v>58.193599234434423</v>
      </c>
      <c r="J30" s="89">
        <f t="shared" si="3"/>
        <v>31770320</v>
      </c>
      <c r="K30" s="12">
        <f t="shared" si="9"/>
        <v>41.218586631884428</v>
      </c>
      <c r="L30" s="13"/>
      <c r="N30" s="1"/>
    </row>
    <row r="31" spans="1:14" ht="19.149999999999999" customHeight="1">
      <c r="A31" s="10"/>
      <c r="B31" s="48" t="s">
        <v>28</v>
      </c>
      <c r="C31" s="23">
        <v>105357000</v>
      </c>
      <c r="D31" s="14">
        <f t="shared" si="17"/>
        <v>0.69803240411173439</v>
      </c>
      <c r="E31" s="14">
        <f t="shared" si="18"/>
        <v>0.69803240411173439</v>
      </c>
      <c r="F31" s="106">
        <f>7680000+2560000+3200000+1600000+1200000+1500000+1900000+2496000+1200000+11200000+570000+2500000+2500000+2496600+3840000+5760000+2560000+1280000+570000+2560000+1200000+5500000+950000+6720000</f>
        <v>73542600</v>
      </c>
      <c r="G31" s="101">
        <f t="shared" si="15"/>
        <v>69.803240411173434</v>
      </c>
      <c r="H31" s="101">
        <f t="shared" si="16"/>
        <v>69.803240411173434</v>
      </c>
      <c r="I31" s="102">
        <f t="shared" si="19"/>
        <v>69.105208007061705</v>
      </c>
      <c r="J31" s="89">
        <f t="shared" si="3"/>
        <v>31814400</v>
      </c>
      <c r="K31" s="12">
        <f t="shared" si="9"/>
        <v>30.196759588826559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0.54728109538426772</v>
      </c>
      <c r="E32" s="14">
        <f t="shared" si="18"/>
        <v>0.54728109538426772</v>
      </c>
      <c r="F32" s="106">
        <f>2135000+1500000+3429552+2344658+3160791+1100000+4966880+1100000+2005050+6997240+900000+4500000+2005250+5000000+2291000+997240+1049000+2400000+2100000</f>
        <v>49981661</v>
      </c>
      <c r="G32" s="101">
        <f t="shared" si="15"/>
        <v>54.728109538426772</v>
      </c>
      <c r="H32" s="101">
        <f t="shared" si="16"/>
        <v>54.728109538426772</v>
      </c>
      <c r="I32" s="102">
        <f t="shared" si="19"/>
        <v>54.1808284430425</v>
      </c>
      <c r="J32" s="89">
        <f t="shared" si="3"/>
        <v>41345559</v>
      </c>
      <c r="K32" s="12">
        <f t="shared" si="9"/>
        <v>45.271890461573236</v>
      </c>
      <c r="L32" s="13"/>
      <c r="N32" s="1"/>
    </row>
    <row r="33" spans="1:14" ht="19.149999999999999" customHeight="1">
      <c r="A33" s="10"/>
      <c r="B33" s="48" t="s">
        <v>30</v>
      </c>
      <c r="C33" s="23">
        <v>54092153</v>
      </c>
      <c r="D33" s="14">
        <f t="shared" si="17"/>
        <v>0.56902865374946343</v>
      </c>
      <c r="E33" s="14">
        <f t="shared" si="18"/>
        <v>0.56902865374946343</v>
      </c>
      <c r="F33" s="106">
        <f>750000+4453000+927150+834435+1200000+661367+244000+915000+300000+1743042+2000000+271964+7417875+3090500+450000+480000+300000+500000+2400000+480000+568652+793000</f>
        <v>30779985</v>
      </c>
      <c r="G33" s="101">
        <f t="shared" si="15"/>
        <v>56.902865374946344</v>
      </c>
      <c r="H33" s="101">
        <f t="shared" si="16"/>
        <v>56.902865374946344</v>
      </c>
      <c r="I33" s="102">
        <f t="shared" si="19"/>
        <v>56.333836721196882</v>
      </c>
      <c r="J33" s="89">
        <f t="shared" si="3"/>
        <v>23312168</v>
      </c>
      <c r="K33" s="12">
        <f t="shared" si="9"/>
        <v>43.097134625053656</v>
      </c>
      <c r="L33" s="13"/>
      <c r="N33" s="1"/>
    </row>
    <row r="34" spans="1:14" ht="19.149999999999999" customHeight="1">
      <c r="A34" s="10"/>
      <c r="B34" s="48" t="s">
        <v>31</v>
      </c>
      <c r="C34" s="23">
        <v>100200000</v>
      </c>
      <c r="D34" s="14">
        <f t="shared" si="17"/>
        <v>0.92909181636726546</v>
      </c>
      <c r="E34" s="14">
        <f t="shared" si="18"/>
        <v>0.92909181636726546</v>
      </c>
      <c r="F34" s="106">
        <f>7500000+5000000+5000000+5000000+1125000+2500000+2500000+1000000+2500000+25000000+5000000+570000+3000000+2500000+2500000+2500000+2500000+2500000+2500000+900000+2500000+2000000+2000000+5000000</f>
        <v>93095000</v>
      </c>
      <c r="G34" s="101">
        <f t="shared" si="15"/>
        <v>92.909181636726544</v>
      </c>
      <c r="H34" s="101">
        <f t="shared" si="16"/>
        <v>92.909181636726544</v>
      </c>
      <c r="I34" s="102">
        <f t="shared" si="19"/>
        <v>91.980089820359282</v>
      </c>
      <c r="J34" s="89">
        <f t="shared" si="3"/>
        <v>7105000</v>
      </c>
      <c r="K34" s="12">
        <f t="shared" si="9"/>
        <v>7.0908183632734527</v>
      </c>
      <c r="L34" s="13"/>
      <c r="N34" s="1"/>
    </row>
    <row r="35" spans="1:14" ht="19.149999999999999" customHeight="1">
      <c r="A35" s="10"/>
      <c r="B35" s="48" t="s">
        <v>32</v>
      </c>
      <c r="C35" s="23">
        <v>178795000</v>
      </c>
      <c r="D35" s="14">
        <f t="shared" si="17"/>
        <v>0.39103428507508597</v>
      </c>
      <c r="E35" s="14">
        <f t="shared" si="18"/>
        <v>0.39103428507508597</v>
      </c>
      <c r="F35" s="106">
        <f>1800000+1000000+2770000+600000+2000000+2000000+1900000+3750000+1000000+1500000+550000+600000+3024975+1500000+27500000+1300000+1410000+1440000+1110000+1220000+1070000+1300000+500000+1825000+3000000+2375000+1870000</f>
        <v>69914975</v>
      </c>
      <c r="G35" s="101">
        <f t="shared" si="15"/>
        <v>39.103428507508596</v>
      </c>
      <c r="H35" s="101">
        <f t="shared" si="16"/>
        <v>39.103428507508596</v>
      </c>
      <c r="I35" s="102">
        <f t="shared" si="19"/>
        <v>38.71239422243351</v>
      </c>
      <c r="J35" s="89">
        <f t="shared" si="3"/>
        <v>108880025</v>
      </c>
      <c r="K35" s="12">
        <f t="shared" si="9"/>
        <v>60.896571492491404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110067517</v>
      </c>
      <c r="D36" s="38">
        <f>E36</f>
        <v>0.12719465634897534</v>
      </c>
      <c r="E36" s="38">
        <f>F36/C36*100%</f>
        <v>0.12719465634897534</v>
      </c>
      <c r="F36" s="36">
        <f>SUM(F37:F38)</f>
        <v>14000000</v>
      </c>
      <c r="G36" s="36">
        <f>H36</f>
        <v>12.719465634897533</v>
      </c>
      <c r="H36" s="36">
        <f>F36/C36*100</f>
        <v>12.719465634897533</v>
      </c>
      <c r="I36" s="36">
        <f>H36-E36</f>
        <v>12.592270978548559</v>
      </c>
      <c r="J36" s="52">
        <f t="shared" si="3"/>
        <v>96067517</v>
      </c>
      <c r="K36" s="51">
        <f t="shared" si="9"/>
        <v>87.280534365102469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56000000</v>
      </c>
      <c r="D37" s="133">
        <f>E37</f>
        <v>0.25</v>
      </c>
      <c r="E37" s="133">
        <f>F37/C37*100%</f>
        <v>0.25</v>
      </c>
      <c r="F37" s="134">
        <f>4000000+10000000</f>
        <v>14000000</v>
      </c>
      <c r="G37" s="134">
        <f>H37</f>
        <v>25</v>
      </c>
      <c r="H37" s="134">
        <f>F37/C37*100</f>
        <v>25</v>
      </c>
      <c r="I37" s="134">
        <f>H37-E37</f>
        <v>24.75</v>
      </c>
      <c r="J37" s="122">
        <f>C37-F37</f>
        <v>42000000</v>
      </c>
      <c r="K37" s="123">
        <f>J37/C37*100</f>
        <v>75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H38-E38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1577292216</v>
      </c>
      <c r="D39" s="38">
        <f>SUM(D40:D42)</f>
        <v>1.7114428491740159</v>
      </c>
      <c r="E39" s="38">
        <f>SUM(E40:E42)</f>
        <v>1.7114428491740159</v>
      </c>
      <c r="F39" s="36">
        <f>SUM(F40:F42)</f>
        <v>974883694</v>
      </c>
      <c r="G39" s="90">
        <f t="shared" ref="G39:G42" si="20">H39</f>
        <v>61.807424401820541</v>
      </c>
      <c r="H39" s="90">
        <f>F39/C39*100</f>
        <v>61.807424401820541</v>
      </c>
      <c r="I39" s="99">
        <f>H39-E39</f>
        <v>60.095981552646528</v>
      </c>
      <c r="J39" s="52">
        <f t="shared" si="3"/>
        <v>602408522</v>
      </c>
      <c r="K39" s="51">
        <f t="shared" si="9"/>
        <v>38.192575598179459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f>E40</f>
        <v>0.60914584946134231</v>
      </c>
      <c r="E40" s="14">
        <f>F40/C40*100%</f>
        <v>0.60914584946134231</v>
      </c>
      <c r="F40" s="106">
        <f>2000000+1782011+882698+750000+500000+300000+500000+300000+1250000+1250000+2400000+300000+1200000+500000+1600000+1500000+1750000+750000+900000+2500000+300000+750000</f>
        <v>23964709</v>
      </c>
      <c r="G40" s="104">
        <f t="shared" si="20"/>
        <v>60.914584946134234</v>
      </c>
      <c r="H40" s="104">
        <f t="shared" ref="H40:H42" si="21">F40/C40*100</f>
        <v>60.914584946134234</v>
      </c>
      <c r="I40" s="105">
        <f>H40-E40</f>
        <v>60.305439096672892</v>
      </c>
      <c r="J40" s="89">
        <f t="shared" si="3"/>
        <v>15376787</v>
      </c>
      <c r="K40" s="12">
        <f t="shared" si="9"/>
        <v>39.085415053865766</v>
      </c>
      <c r="L40" s="13"/>
      <c r="N40" s="1"/>
    </row>
    <row r="41" spans="1:14" ht="19.149999999999999" customHeight="1">
      <c r="A41" s="10"/>
      <c r="B41" s="48" t="s">
        <v>37</v>
      </c>
      <c r="C41" s="23">
        <v>505550720</v>
      </c>
      <c r="D41" s="14">
        <f t="shared" ref="D41:D42" si="22">E41</f>
        <v>0.35511567464487043</v>
      </c>
      <c r="E41" s="14">
        <f t="shared" ref="E41:E42" si="23">F41/C41*100%</f>
        <v>0.35511567464487043</v>
      </c>
      <c r="F41" s="106">
        <f>6786602+3106436+2575000+1023850+2000000+632698+1200000+2047000+3000000+4008704+5000000+5000000+1500000+2700365+84869+5000000+5000000+2808718+3400000+3700000+1000000+2596347+448787+1950000+1637000+3300000+2500000+3084092+6332000+1800000+12510000+3000000+5000000+5020000+5750000+2746884+20845000+455400+579233+2400000+24000000+2000000+3000000+7000000</f>
        <v>179528985</v>
      </c>
      <c r="G41" s="104">
        <f t="shared" si="20"/>
        <v>35.511567464487044</v>
      </c>
      <c r="H41" s="104">
        <f t="shared" si="21"/>
        <v>35.511567464487044</v>
      </c>
      <c r="I41" s="105">
        <f t="shared" ref="I41:I42" si="24">H41-E41</f>
        <v>35.156451789842173</v>
      </c>
      <c r="J41" s="89">
        <f t="shared" si="3"/>
        <v>326021735</v>
      </c>
      <c r="K41" s="12">
        <f t="shared" si="9"/>
        <v>64.488432535512956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f t="shared" si="22"/>
        <v>0.74718132506780321</v>
      </c>
      <c r="E42" s="14">
        <f t="shared" si="23"/>
        <v>0.74718132506780321</v>
      </c>
      <c r="F42" s="106">
        <f>6200000+6200000+6200000+6200000+234000000+2710000+78000000+2790000+6200000+78000000+6000000+78000000+6200000+78000000+6200000+2710000+78000000+6200000+78000000+5580000</f>
        <v>771390000</v>
      </c>
      <c r="G42" s="104">
        <f t="shared" si="20"/>
        <v>74.718132506780321</v>
      </c>
      <c r="H42" s="104">
        <f t="shared" si="21"/>
        <v>74.718132506780321</v>
      </c>
      <c r="I42" s="105">
        <f t="shared" si="24"/>
        <v>73.970951181712522</v>
      </c>
      <c r="J42" s="89">
        <f t="shared" si="3"/>
        <v>261010000</v>
      </c>
      <c r="K42" s="12">
        <f t="shared" si="9"/>
        <v>25.281867493219686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481588000</v>
      </c>
      <c r="D43" s="38">
        <f>E43</f>
        <v>0.74008734021611833</v>
      </c>
      <c r="E43" s="39">
        <f>F43/C43*100%</f>
        <v>0.74008734021611833</v>
      </c>
      <c r="F43" s="37">
        <f>SUM(F44:F48)</f>
        <v>356417182</v>
      </c>
      <c r="G43" s="91">
        <f>H43</f>
        <v>74.008734021611829</v>
      </c>
      <c r="H43" s="91">
        <f>F43/C43*100</f>
        <v>74.008734021611829</v>
      </c>
      <c r="I43" s="91">
        <f>H43-E43</f>
        <v>73.268646681395708</v>
      </c>
      <c r="J43" s="52">
        <f t="shared" si="3"/>
        <v>125170818</v>
      </c>
      <c r="K43" s="51">
        <f t="shared" si="9"/>
        <v>25.991265978388167</v>
      </c>
      <c r="L43" s="37"/>
      <c r="N43" s="62"/>
    </row>
    <row r="44" spans="1:14" ht="37.15" customHeight="1">
      <c r="A44" s="15"/>
      <c r="B44" s="64" t="s">
        <v>40</v>
      </c>
      <c r="C44" s="24">
        <v>199830000</v>
      </c>
      <c r="D44" s="14">
        <f>E44</f>
        <v>0.83986388430165637</v>
      </c>
      <c r="E44" s="14">
        <f>F44/C44*100%</f>
        <v>0.83986388430165637</v>
      </c>
      <c r="F44" s="107">
        <f>3920000+560000+5000000+4000000+1750000+1920000+2600000+2885000+520000+4100000+4375000+5000000+22070000+12960000+1150000+7300000+1100000+3200000+3320000+9050000+2110000+9720000+125000+2800000+1000000+2650000+5660000+1200000+800000+2000000+600000+18100000+3750000+3400000+1400000+3800000+4030000+4010000+1095000+2800000</f>
        <v>167830000</v>
      </c>
      <c r="G44" s="104">
        <f t="shared" ref="G44:G48" si="25">H44</f>
        <v>83.986388430165633</v>
      </c>
      <c r="H44" s="104">
        <f t="shared" ref="H44:H48" si="26">F44/C44*100</f>
        <v>83.986388430165633</v>
      </c>
      <c r="I44" s="118">
        <f>H44-E44</f>
        <v>83.146524545863983</v>
      </c>
      <c r="J44" s="89">
        <f t="shared" si="3"/>
        <v>32000000</v>
      </c>
      <c r="K44" s="12">
        <f t="shared" si="9"/>
        <v>16.01361156983436</v>
      </c>
      <c r="L44" s="16"/>
    </row>
    <row r="45" spans="1:14" ht="37.15" customHeight="1">
      <c r="A45" s="15"/>
      <c r="B45" s="199" t="s">
        <v>73</v>
      </c>
      <c r="C45" s="24">
        <v>9240000</v>
      </c>
      <c r="D45" s="14">
        <f t="shared" ref="D45:D48" si="27">E45</f>
        <v>0.26190476190476192</v>
      </c>
      <c r="E45" s="14">
        <f t="shared" ref="E45:E48" si="28">F45/C45*100%</f>
        <v>0.26190476190476192</v>
      </c>
      <c r="F45" s="107">
        <f>1520000+900000</f>
        <v>2420000</v>
      </c>
      <c r="G45" s="104">
        <f t="shared" si="25"/>
        <v>26.190476190476193</v>
      </c>
      <c r="H45" s="104">
        <f t="shared" si="26"/>
        <v>26.190476190476193</v>
      </c>
      <c r="I45" s="118">
        <f t="shared" ref="I45:I48" si="29">H45-E45</f>
        <v>25.928571428571431</v>
      </c>
      <c r="J45" s="89">
        <f t="shared" si="3"/>
        <v>6820000</v>
      </c>
      <c r="K45" s="12">
        <f t="shared" si="9"/>
        <v>73.80952380952381</v>
      </c>
      <c r="L45" s="16"/>
    </row>
    <row r="46" spans="1:14" ht="19.149999999999999" customHeight="1">
      <c r="A46" s="15"/>
      <c r="B46" s="63" t="s">
        <v>41</v>
      </c>
      <c r="C46" s="24">
        <v>115030000</v>
      </c>
      <c r="D46" s="14">
        <f t="shared" si="27"/>
        <v>0.63322611492654091</v>
      </c>
      <c r="E46" s="14">
        <f t="shared" si="28"/>
        <v>0.63322611492654091</v>
      </c>
      <c r="F46" s="107">
        <f>2640000+550000+6070000+1000000+1050000+4060000+730000+5830000+1540000+1460000+4130000+700000+4000000+3220000+4070000+3280000+1750000+6870000+3210000+1330000+6000000+2190000+5700000+1460000</f>
        <v>72840000</v>
      </c>
      <c r="G46" s="104">
        <f t="shared" si="25"/>
        <v>63.32261149265409</v>
      </c>
      <c r="H46" s="104">
        <f t="shared" si="26"/>
        <v>63.32261149265409</v>
      </c>
      <c r="I46" s="118">
        <f t="shared" si="29"/>
        <v>62.689385377727547</v>
      </c>
      <c r="J46" s="89">
        <f t="shared" si="3"/>
        <v>42190000</v>
      </c>
      <c r="K46" s="12">
        <f t="shared" si="9"/>
        <v>36.67738850734591</v>
      </c>
      <c r="L46" s="16"/>
    </row>
    <row r="47" spans="1:14" ht="19.149999999999999" customHeight="1">
      <c r="A47" s="15"/>
      <c r="B47" s="200" t="s">
        <v>42</v>
      </c>
      <c r="C47" s="24">
        <v>68008000</v>
      </c>
      <c r="D47" s="14">
        <f t="shared" si="27"/>
        <v>0.62945535819315379</v>
      </c>
      <c r="E47" s="14">
        <f t="shared" si="28"/>
        <v>0.62945535819315379</v>
      </c>
      <c r="F47" s="107">
        <f>23328000+19480000</f>
        <v>42808000</v>
      </c>
      <c r="G47" s="104">
        <f t="shared" si="25"/>
        <v>62.945535819315381</v>
      </c>
      <c r="H47" s="104">
        <f t="shared" si="26"/>
        <v>62.945535819315381</v>
      </c>
      <c r="I47" s="118">
        <f t="shared" si="29"/>
        <v>62.316080461122226</v>
      </c>
      <c r="J47" s="89">
        <f t="shared" si="3"/>
        <v>25200000</v>
      </c>
      <c r="K47" s="12">
        <f t="shared" si="9"/>
        <v>37.054464180684626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7"/>
        <v>0.78809993294590974</v>
      </c>
      <c r="E48" s="14">
        <f t="shared" si="28"/>
        <v>0.78809993294590974</v>
      </c>
      <c r="F48" s="107">
        <f>15390000+4040000+51089182</f>
        <v>70519182</v>
      </c>
      <c r="G48" s="104">
        <f t="shared" si="25"/>
        <v>78.809993294590981</v>
      </c>
      <c r="H48" s="104">
        <f t="shared" si="26"/>
        <v>78.809993294590981</v>
      </c>
      <c r="I48" s="118">
        <f t="shared" si="29"/>
        <v>78.02189336164507</v>
      </c>
      <c r="J48" s="89">
        <f t="shared" si="3"/>
        <v>18960818</v>
      </c>
      <c r="K48" s="12">
        <f t="shared" si="9"/>
        <v>21.190006705409033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0.86363636363636365</v>
      </c>
      <c r="E49" s="67">
        <f>E50</f>
        <v>0.35247804582618353</v>
      </c>
      <c r="F49" s="67">
        <f>F50+F52</f>
        <v>131460000</v>
      </c>
      <c r="G49" s="67">
        <f t="shared" ref="G49:H49" si="30">G50</f>
        <v>35.24780458261835</v>
      </c>
      <c r="H49" s="67">
        <f t="shared" si="30"/>
        <v>35.24780458261835</v>
      </c>
      <c r="I49" s="67">
        <f t="shared" ref="I49:I57" si="31">H49-E49</f>
        <v>34.895326536792169</v>
      </c>
      <c r="J49" s="59">
        <f t="shared" si="3"/>
        <v>66552940</v>
      </c>
      <c r="K49" s="58">
        <f t="shared" si="9"/>
        <v>33.610399401170447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0.35247804582618353</v>
      </c>
      <c r="E50" s="109">
        <f>SUM(E51:E51)</f>
        <v>0.35247804582618353</v>
      </c>
      <c r="F50" s="110">
        <f>SUM(F51)</f>
        <v>17460000</v>
      </c>
      <c r="G50" s="110">
        <f t="shared" ref="G50" si="32">SUM(G51)</f>
        <v>35.24780458261835</v>
      </c>
      <c r="H50" s="110">
        <f t="shared" ref="H50:H57" si="33">F50/C50*100</f>
        <v>35.24780458261835</v>
      </c>
      <c r="I50" s="110">
        <f t="shared" si="31"/>
        <v>34.895326536792169</v>
      </c>
      <c r="J50" s="52">
        <f t="shared" si="3"/>
        <v>32075000</v>
      </c>
      <c r="K50" s="51">
        <f t="shared" si="9"/>
        <v>64.752195417381657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4">E51</f>
        <v>0.35247804582618353</v>
      </c>
      <c r="E51" s="108">
        <f>F51/C51*100%</f>
        <v>0.35247804582618353</v>
      </c>
      <c r="F51" s="107">
        <v>17460000</v>
      </c>
      <c r="G51" s="111">
        <f>H51</f>
        <v>35.24780458261835</v>
      </c>
      <c r="H51" s="111">
        <f t="shared" si="33"/>
        <v>35.24780458261835</v>
      </c>
      <c r="I51" s="108">
        <f t="shared" si="31"/>
        <v>34.895326536792169</v>
      </c>
      <c r="J51" s="89">
        <f t="shared" si="3"/>
        <v>32075000</v>
      </c>
      <c r="K51" s="12">
        <f t="shared" si="9"/>
        <v>64.752195417381657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E52</f>
        <v>0.86363636363636365</v>
      </c>
      <c r="E52" s="39">
        <f>E53+E54</f>
        <v>0.86363636363636365</v>
      </c>
      <c r="F52" s="37">
        <f>SUM(F53:F54)</f>
        <v>114000000</v>
      </c>
      <c r="G52" s="37">
        <f>H52</f>
        <v>76.779082468412469</v>
      </c>
      <c r="H52" s="37">
        <f t="shared" si="33"/>
        <v>76.779082468412469</v>
      </c>
      <c r="I52" s="37">
        <f t="shared" si="31"/>
        <v>75.915446104776109</v>
      </c>
      <c r="J52" s="52">
        <f t="shared" si="3"/>
        <v>34477940</v>
      </c>
      <c r="K52" s="51">
        <f t="shared" si="9"/>
        <v>23.220917531587521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 t="shared" si="33"/>
        <v>0</v>
      </c>
      <c r="I53" s="108">
        <f t="shared" si="31"/>
        <v>0</v>
      </c>
      <c r="J53" s="89">
        <f t="shared" si="3"/>
        <v>16477940</v>
      </c>
      <c r="K53" s="12">
        <f t="shared" si="9"/>
        <v>100</v>
      </c>
      <c r="L53" s="9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0.86363636363636365</v>
      </c>
      <c r="E54" s="108">
        <f>F54/C54*100%</f>
        <v>0.86363636363636365</v>
      </c>
      <c r="F54" s="107">
        <f>6000000+6000000+6000000+6000000+6000000+6000000+60000000+6000000+6000000+6000000</f>
        <v>114000000</v>
      </c>
      <c r="G54" s="111">
        <f>H54</f>
        <v>86.36363636363636</v>
      </c>
      <c r="H54" s="111">
        <f t="shared" si="33"/>
        <v>86.36363636363636</v>
      </c>
      <c r="I54" s="108">
        <f t="shared" si="31"/>
        <v>85.5</v>
      </c>
      <c r="J54" s="89">
        <f t="shared" si="3"/>
        <v>18000000</v>
      </c>
      <c r="K54" s="12">
        <f t="shared" si="9"/>
        <v>13.636363636363635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5688201574</v>
      </c>
      <c r="D55" s="57">
        <f>D56</f>
        <v>0.72424761965101714</v>
      </c>
      <c r="E55" s="79">
        <f>E56</f>
        <v>0.72424761965101714</v>
      </c>
      <c r="F55" s="113">
        <f>F56+F60</f>
        <v>4073145935</v>
      </c>
      <c r="G55" s="113">
        <f>F55/C55*100</f>
        <v>71.606919726927387</v>
      </c>
      <c r="H55" s="113">
        <f t="shared" si="33"/>
        <v>71.606919726927387</v>
      </c>
      <c r="I55" s="113">
        <f t="shared" si="31"/>
        <v>70.882672107276363</v>
      </c>
      <c r="J55" s="59">
        <f t="shared" si="3"/>
        <v>1615055639</v>
      </c>
      <c r="K55" s="58">
        <f t="shared" si="9"/>
        <v>28.393080273072613</v>
      </c>
      <c r="L55" s="77"/>
    </row>
    <row r="56" spans="1:14" ht="29.45" customHeight="1">
      <c r="A56" s="69" t="s">
        <v>91</v>
      </c>
      <c r="B56" s="204" t="s">
        <v>75</v>
      </c>
      <c r="C56" s="139">
        <f>C57+C58+C59</f>
        <v>5609121644</v>
      </c>
      <c r="D56" s="114">
        <f>E56</f>
        <v>0.72424761965101714</v>
      </c>
      <c r="E56" s="114">
        <f>F56/C56*100%</f>
        <v>0.72424761965101714</v>
      </c>
      <c r="F56" s="140">
        <f>F57+F58+F59</f>
        <v>4062392999</v>
      </c>
      <c r="G56" s="140">
        <f>H56</f>
        <v>72.424761965101709</v>
      </c>
      <c r="H56" s="140">
        <f t="shared" si="33"/>
        <v>72.424761965101709</v>
      </c>
      <c r="I56" s="140">
        <f t="shared" si="31"/>
        <v>71.700514345450685</v>
      </c>
      <c r="J56" s="52">
        <f>C56-F56</f>
        <v>1546728645</v>
      </c>
      <c r="K56" s="51">
        <f t="shared" si="9"/>
        <v>27.575238034898288</v>
      </c>
      <c r="L56" s="141"/>
    </row>
    <row r="57" spans="1:14" s="144" customFormat="1" ht="29.45" customHeight="1">
      <c r="A57" s="142"/>
      <c r="B57" s="136" t="s">
        <v>76</v>
      </c>
      <c r="C57" s="120">
        <v>166218966</v>
      </c>
      <c r="D57" s="112">
        <f>E57</f>
        <v>0.88640675336652019</v>
      </c>
      <c r="E57" s="108">
        <f>F57/C57*100%</f>
        <v>0.88640675336652019</v>
      </c>
      <c r="F57" s="107">
        <f>12811000+10988000+10857940+8474300+11962442+9826442+10322702+14165000+14047965+9530000+10934732+12511000+10906091</f>
        <v>147337614</v>
      </c>
      <c r="G57" s="111">
        <f>H57</f>
        <v>88.640675336652023</v>
      </c>
      <c r="H57" s="111">
        <f t="shared" si="33"/>
        <v>88.640675336652023</v>
      </c>
      <c r="I57" s="108">
        <f t="shared" si="31"/>
        <v>87.754268583285508</v>
      </c>
      <c r="J57" s="122">
        <f>C57-F57</f>
        <v>18881352</v>
      </c>
      <c r="K57" s="123">
        <f t="shared" si="9"/>
        <v>11.359324663347985</v>
      </c>
      <c r="L57" s="143"/>
    </row>
    <row r="58" spans="1:14" s="144" customFormat="1" ht="29.45" customHeight="1">
      <c r="A58" s="142"/>
      <c r="B58" s="136" t="s">
        <v>77</v>
      </c>
      <c r="C58" s="120">
        <v>956340289</v>
      </c>
      <c r="D58" s="112">
        <f t="shared" ref="D58:D59" si="36">E58</f>
        <v>0.59655758997308117</v>
      </c>
      <c r="E58" s="108">
        <f t="shared" ref="E58:E59" si="37">F58/C58*100%</f>
        <v>0.59655758997308117</v>
      </c>
      <c r="F58" s="107">
        <f>33568000+30000000+30398000+30595600+2574500+33881770+23178900+35846000+2755927+39272726+24875310+29952600+34080000+30282000+44394700+54290000+38496025+44250000+7820000</f>
        <v>570512058</v>
      </c>
      <c r="G58" s="111">
        <f t="shared" ref="G58:G59" si="38">H58</f>
        <v>59.655758997308119</v>
      </c>
      <c r="H58" s="111">
        <f t="shared" ref="H58:H59" si="39">F58/C58*100</f>
        <v>59.655758997308119</v>
      </c>
      <c r="I58" s="108">
        <f t="shared" ref="I58:I59" si="40">H58-E58</f>
        <v>59.059201407335038</v>
      </c>
      <c r="J58" s="122">
        <f t="shared" ref="J58:J59" si="41">C58-F58</f>
        <v>385828231</v>
      </c>
      <c r="K58" s="123">
        <f t="shared" si="9"/>
        <v>40.344241002691881</v>
      </c>
      <c r="L58" s="143"/>
    </row>
    <row r="59" spans="1:14" ht="29.45" customHeight="1">
      <c r="A59" s="15"/>
      <c r="B59" s="136" t="s">
        <v>78</v>
      </c>
      <c r="C59" s="120">
        <v>4486562389</v>
      </c>
      <c r="D59" s="112">
        <f t="shared" si="36"/>
        <v>0.74545788891736731</v>
      </c>
      <c r="E59" s="108">
        <f t="shared" si="37"/>
        <v>0.74545788891736731</v>
      </c>
      <c r="F59" s="107">
        <f>47710000+42763636+28800000+56250000+33600000+93150000+12708191+2574500+13500000+37500000+34140000+40200000+44400000+19250000+48150000+44700000+2790000+63000000+38400000+17640000+18624000+21450000+45000000+40200000+28800000+44700000+26550000+29700000+63000000+33600000+38400000+93150000+129840000+13500000+47250000+17460000+47250000+34200000+38400000+92550000+66300000+66300000+50400000+50400000+42900000+42900000+3800000+34200000+37500000+34140000+48000000+38400000+21450000+45000000+40200000+13661500+13661500+44400000+48150000+44700000+28800000+29700000+26550000+63000000+45900000+45900000+45900000+33600000+3230000+38400000+66300000+50400000+93150000+64920000+42900000+64890000+34200000+37500000+24000000+34140000+38400000+21450000</f>
        <v>3344543327</v>
      </c>
      <c r="G59" s="111">
        <f t="shared" si="38"/>
        <v>74.545788891736734</v>
      </c>
      <c r="H59" s="111">
        <f t="shared" si="39"/>
        <v>74.545788891736734</v>
      </c>
      <c r="I59" s="108">
        <f t="shared" si="40"/>
        <v>73.800331002819362</v>
      </c>
      <c r="J59" s="122">
        <f t="shared" si="41"/>
        <v>1142019062</v>
      </c>
      <c r="K59" s="123">
        <f t="shared" si="9"/>
        <v>25.454211108263269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0.27312434366455446</v>
      </c>
      <c r="E60" s="109">
        <f>D60</f>
        <v>0.27312434366455446</v>
      </c>
      <c r="F60" s="109">
        <f>SUM(F61:F63)</f>
        <v>10752936</v>
      </c>
      <c r="G60" s="109">
        <f>F60/C60*100</f>
        <v>13.597553766170506</v>
      </c>
      <c r="H60" s="109">
        <f t="shared" ref="H60:I60" si="42">G60</f>
        <v>13.597553766170506</v>
      </c>
      <c r="I60" s="109">
        <f t="shared" si="42"/>
        <v>13.597553766170506</v>
      </c>
      <c r="J60" s="52">
        <f t="shared" si="3"/>
        <v>68326994</v>
      </c>
      <c r="K60" s="51">
        <f t="shared" si="9"/>
        <v>86.402446233829494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3">E61</f>
        <v>0.27312434366455446</v>
      </c>
      <c r="E61" s="108">
        <f>F61/C61*100%</f>
        <v>0.27312434366455446</v>
      </c>
      <c r="F61" s="107">
        <v>10752936</v>
      </c>
      <c r="G61" s="111">
        <f>H61</f>
        <v>27.312434366455445</v>
      </c>
      <c r="H61" s="111">
        <f>F61/C61*100</f>
        <v>27.312434366455445</v>
      </c>
      <c r="I61" s="108">
        <f>E61-H61</f>
        <v>-27.03931002279089</v>
      </c>
      <c r="J61" s="89">
        <f t="shared" si="3"/>
        <v>28617176</v>
      </c>
      <c r="K61" s="12">
        <f t="shared" si="9"/>
        <v>72.687565633544551</v>
      </c>
      <c r="L61" s="9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3"/>
        <v>0</v>
      </c>
      <c r="E62" s="108">
        <f t="shared" ref="E62:E63" si="44">F62/C62*100%</f>
        <v>0</v>
      </c>
      <c r="F62" s="107">
        <v>0</v>
      </c>
      <c r="G62" s="111">
        <f t="shared" ref="G62:G63" si="45">H62</f>
        <v>0</v>
      </c>
      <c r="H62" s="111">
        <f t="shared" ref="H62:H63" si="46">F62/C62*100</f>
        <v>0</v>
      </c>
      <c r="I62" s="108">
        <f t="shared" ref="I62:I63" si="47">E62-H62</f>
        <v>0</v>
      </c>
      <c r="J62" s="89">
        <f t="shared" si="3"/>
        <v>15600000</v>
      </c>
      <c r="K62" s="12">
        <f t="shared" si="9"/>
        <v>100</v>
      </c>
      <c r="L62" s="9"/>
    </row>
    <row r="63" spans="1:14" ht="19.149999999999999" customHeight="1">
      <c r="A63" s="18"/>
      <c r="B63" s="34" t="s">
        <v>70</v>
      </c>
      <c r="C63" s="120">
        <v>24109818</v>
      </c>
      <c r="D63" s="14">
        <f t="shared" si="43"/>
        <v>0</v>
      </c>
      <c r="E63" s="108">
        <f t="shared" si="44"/>
        <v>0</v>
      </c>
      <c r="F63" s="107">
        <v>0</v>
      </c>
      <c r="G63" s="111">
        <f t="shared" si="45"/>
        <v>0</v>
      </c>
      <c r="H63" s="111">
        <f t="shared" si="46"/>
        <v>0</v>
      </c>
      <c r="I63" s="108">
        <f t="shared" si="47"/>
        <v>0</v>
      </c>
      <c r="J63" s="89">
        <f t="shared" si="3"/>
        <v>24109818</v>
      </c>
      <c r="K63" s="12">
        <f t="shared" si="9"/>
        <v>100</v>
      </c>
      <c r="L63" s="202"/>
    </row>
    <row r="64" spans="1:14" ht="19.149999999999999" customHeight="1">
      <c r="A64" s="190" t="s">
        <v>82</v>
      </c>
      <c r="B64" s="76" t="s">
        <v>137</v>
      </c>
      <c r="C64" s="196">
        <f>C65</f>
        <v>1153650280</v>
      </c>
      <c r="D64" s="191">
        <f>D65</f>
        <v>0.71155287198474049</v>
      </c>
      <c r="E64" s="191">
        <f t="shared" ref="E64:K64" si="48">E65</f>
        <v>0.71155287198474049</v>
      </c>
      <c r="F64" s="191">
        <f t="shared" si="48"/>
        <v>820883170</v>
      </c>
      <c r="G64" s="191">
        <f t="shared" si="48"/>
        <v>71.155287198474042</v>
      </c>
      <c r="H64" s="191">
        <f t="shared" si="48"/>
        <v>71.155287198474042</v>
      </c>
      <c r="I64" s="191">
        <f t="shared" si="48"/>
        <v>71.155287198474042</v>
      </c>
      <c r="J64" s="191">
        <f t="shared" si="48"/>
        <v>332767110</v>
      </c>
      <c r="K64" s="191">
        <f t="shared" si="48"/>
        <v>28.844712801525951</v>
      </c>
      <c r="L64" s="191"/>
    </row>
    <row r="65" spans="1:12" ht="19.149999999999999" customHeight="1">
      <c r="A65" s="192" t="s">
        <v>93</v>
      </c>
      <c r="B65" s="29" t="s">
        <v>142</v>
      </c>
      <c r="C65" s="195">
        <f>C66+C67</f>
        <v>1153650280</v>
      </c>
      <c r="D65" s="38">
        <f>E65</f>
        <v>0.71155287198474049</v>
      </c>
      <c r="E65" s="109">
        <f>F65/C65*100%</f>
        <v>0.71155287198474049</v>
      </c>
      <c r="F65" s="109">
        <f>F66+F67</f>
        <v>820883170</v>
      </c>
      <c r="G65" s="197">
        <f>H65</f>
        <v>71.155287198474042</v>
      </c>
      <c r="H65" s="109">
        <f>F65/C65*100</f>
        <v>71.155287198474042</v>
      </c>
      <c r="I65" s="109">
        <f>H65</f>
        <v>71.155287198474042</v>
      </c>
      <c r="J65" s="52">
        <f t="shared" ref="J65:J67" si="49">C65-F65</f>
        <v>332767110</v>
      </c>
      <c r="K65" s="51">
        <f t="shared" ref="K65:K67" si="50">J65/C65*100</f>
        <v>28.844712801525951</v>
      </c>
      <c r="L65" s="73"/>
    </row>
    <row r="66" spans="1:12" ht="36" customHeight="1">
      <c r="A66" s="189"/>
      <c r="B66" s="194" t="s">
        <v>143</v>
      </c>
      <c r="C66" s="188">
        <v>917249280</v>
      </c>
      <c r="D66" s="14">
        <f t="shared" ref="D66:D67" si="51">E66</f>
        <v>0.76913788365143221</v>
      </c>
      <c r="E66" s="108">
        <f>F66/C66*100%</f>
        <v>0.76913788365143221</v>
      </c>
      <c r="F66" s="107">
        <f>13051100+14945000+44465000+11030000+25921860+13450000+21694530+20360000+15765000+120607500+13459220+15200000+1500000+18850000+6173280+4995000+4193280+6300000+23964400+17740000+22952280+9107500+9257500+2025000+24157720+16365000+21676000+4200000+16050000+10635000+19690000+3417500+9450000+14465000+11520000+2850000+12475000+26900000+8192500+17350000+9400000+19690000</f>
        <v>705491170</v>
      </c>
      <c r="G66" s="111">
        <f>H66</f>
        <v>76.913788365143219</v>
      </c>
      <c r="H66" s="111">
        <f>F66/C66*100</f>
        <v>76.913788365143219</v>
      </c>
      <c r="I66" s="108">
        <f>H66-E66</f>
        <v>76.14465048149178</v>
      </c>
      <c r="J66" s="89">
        <f t="shared" si="49"/>
        <v>211758110</v>
      </c>
      <c r="K66" s="12">
        <f t="shared" si="50"/>
        <v>23.086211634856777</v>
      </c>
      <c r="L66" s="16"/>
    </row>
    <row r="67" spans="1:12" ht="19.149999999999999" customHeight="1">
      <c r="A67" s="189"/>
      <c r="B67" s="193" t="s">
        <v>144</v>
      </c>
      <c r="C67" s="188">
        <v>236401000</v>
      </c>
      <c r="D67" s="14">
        <f t="shared" si="51"/>
        <v>0.48811976260675716</v>
      </c>
      <c r="E67" s="108">
        <f t="shared" ref="E67" si="52">F67/C67*100%</f>
        <v>0.48811976260675716</v>
      </c>
      <c r="F67" s="107">
        <f>5420000+4462500+8045000+7118000+22365000+6710000+11151500+8220000+10150000+7415000+4800000+3420000+2920000+2250000+4750000+2475000+1270000+2450000</f>
        <v>115392000</v>
      </c>
      <c r="G67" s="111">
        <f t="shared" ref="G67" si="53">H67</f>
        <v>48.811976260675713</v>
      </c>
      <c r="H67" s="111">
        <f t="shared" ref="H67" si="54">F67/C67*100</f>
        <v>48.811976260675713</v>
      </c>
      <c r="I67" s="108">
        <f>H67-E67</f>
        <v>48.323856498068956</v>
      </c>
      <c r="J67" s="89">
        <f t="shared" si="49"/>
        <v>121009000</v>
      </c>
      <c r="K67" s="12">
        <f t="shared" si="50"/>
        <v>51.188023739324287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0.18281813918059017</v>
      </c>
      <c r="E68" s="79">
        <f>F68/C68*100%</f>
        <v>0.18281813918059017</v>
      </c>
      <c r="F68" s="80">
        <f>F69</f>
        <v>54960800</v>
      </c>
      <c r="G68" s="80">
        <f t="shared" ref="G68:H68" si="55">G69</f>
        <v>18.281813918059019</v>
      </c>
      <c r="H68" s="80">
        <f t="shared" si="55"/>
        <v>18.281813918059019</v>
      </c>
      <c r="I68" s="80">
        <f>H68-E68</f>
        <v>18.098995778878429</v>
      </c>
      <c r="J68" s="59">
        <f t="shared" si="3"/>
        <v>245670200</v>
      </c>
      <c r="K68" s="58">
        <f t="shared" si="9"/>
        <v>81.718186081940985</v>
      </c>
      <c r="L68" s="82"/>
    </row>
    <row r="69" spans="1:12" ht="37.15" customHeight="1">
      <c r="A69" s="70" t="s">
        <v>139</v>
      </c>
      <c r="B69" s="205" t="s">
        <v>71</v>
      </c>
      <c r="C69" s="84">
        <f>SUM(C70:C72)</f>
        <v>300631000</v>
      </c>
      <c r="D69" s="114">
        <f>E69</f>
        <v>0.18281813918059017</v>
      </c>
      <c r="E69" s="114">
        <f>F69/C69*100%</f>
        <v>0.18281813918059017</v>
      </c>
      <c r="F69" s="114">
        <f>SUM(F70:F72)</f>
        <v>54960800</v>
      </c>
      <c r="G69" s="114">
        <f>H69</f>
        <v>18.281813918059019</v>
      </c>
      <c r="H69" s="114">
        <f>F69/C69*100</f>
        <v>18.281813918059019</v>
      </c>
      <c r="I69" s="114">
        <f>H69-E69</f>
        <v>18.098995778878429</v>
      </c>
      <c r="J69" s="52">
        <f t="shared" si="3"/>
        <v>245670200</v>
      </c>
      <c r="K69" s="51">
        <f t="shared" si="9"/>
        <v>81.718186081940985</v>
      </c>
      <c r="L69" s="83"/>
    </row>
    <row r="70" spans="1:12" ht="76.150000000000006" customHeight="1">
      <c r="A70" s="43"/>
      <c r="B70" s="64" t="s">
        <v>52</v>
      </c>
      <c r="C70" s="26">
        <v>99126000</v>
      </c>
      <c r="D70" s="14">
        <f t="shared" ref="D70:D72" si="56">E70</f>
        <v>0</v>
      </c>
      <c r="E70" s="108">
        <f>F70/C70*100%</f>
        <v>0</v>
      </c>
      <c r="F70" s="115">
        <v>0</v>
      </c>
      <c r="G70" s="116">
        <f>H70</f>
        <v>0</v>
      </c>
      <c r="H70" s="116">
        <f>F70/C70*100</f>
        <v>0</v>
      </c>
      <c r="I70" s="108">
        <f>H70-E70</f>
        <v>0</v>
      </c>
      <c r="J70" s="89">
        <f t="shared" si="3"/>
        <v>99126000</v>
      </c>
      <c r="K70" s="12">
        <f t="shared" si="9"/>
        <v>100</v>
      </c>
      <c r="L70" s="19"/>
    </row>
    <row r="71" spans="1:12" ht="48" customHeight="1">
      <c r="A71" s="41"/>
      <c r="B71" s="64" t="s">
        <v>53</v>
      </c>
      <c r="C71" s="26">
        <v>163575000</v>
      </c>
      <c r="D71" s="14">
        <f>E71</f>
        <v>0.16910163533547304</v>
      </c>
      <c r="E71" s="108">
        <f t="shared" ref="E71:E72" si="57">F71/C71*100%</f>
        <v>0.16910163533547304</v>
      </c>
      <c r="F71" s="115">
        <f>24460800+3200000</f>
        <v>27660800</v>
      </c>
      <c r="G71" s="116">
        <f t="shared" ref="G71:G72" si="58">H71</f>
        <v>16.910163533547305</v>
      </c>
      <c r="H71" s="116">
        <f t="shared" ref="H71:H72" si="59">F71/C71*100</f>
        <v>16.910163533547305</v>
      </c>
      <c r="I71" s="108">
        <f t="shared" ref="I71:I72" si="60">H71-E71</f>
        <v>16.741061898211832</v>
      </c>
      <c r="J71" s="89">
        <f t="shared" si="3"/>
        <v>135914200</v>
      </c>
      <c r="K71" s="12">
        <f t="shared" si="9"/>
        <v>83.089836466452695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56"/>
        <v>0.71974690218824144</v>
      </c>
      <c r="E72" s="108">
        <f t="shared" si="57"/>
        <v>0.71974690218824144</v>
      </c>
      <c r="F72" s="115">
        <f>9100000+9100000+9100000</f>
        <v>27300000</v>
      </c>
      <c r="G72" s="116">
        <f t="shared" si="58"/>
        <v>71.974690218824151</v>
      </c>
      <c r="H72" s="116">
        <f t="shared" si="59"/>
        <v>71.974690218824151</v>
      </c>
      <c r="I72" s="108">
        <f t="shared" si="60"/>
        <v>71.254943316635902</v>
      </c>
      <c r="J72" s="125">
        <f t="shared" si="3"/>
        <v>10630000</v>
      </c>
      <c r="K72" s="7">
        <f t="shared" si="9"/>
        <v>28.025309781175849</v>
      </c>
      <c r="L72" s="19"/>
    </row>
    <row r="73" spans="1:12">
      <c r="G73" s="117"/>
      <c r="H73" s="117"/>
    </row>
    <row r="74" spans="1:12">
      <c r="G74" s="117"/>
      <c r="H74" s="117"/>
      <c r="I74" s="232" t="s">
        <v>150</v>
      </c>
      <c r="J74" s="232"/>
      <c r="K74" s="232"/>
    </row>
    <row r="75" spans="1:12">
      <c r="G75" s="117"/>
      <c r="H75" s="117"/>
    </row>
    <row r="76" spans="1:12">
      <c r="G76" s="117"/>
      <c r="H76" s="117"/>
      <c r="I76" s="232" t="s">
        <v>145</v>
      </c>
      <c r="J76" s="232"/>
      <c r="K76" s="232"/>
    </row>
    <row r="77" spans="1:12">
      <c r="G77" s="117"/>
      <c r="H77" s="117"/>
      <c r="I77" s="232" t="s">
        <v>146</v>
      </c>
      <c r="J77" s="232"/>
      <c r="K77" s="232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  <c r="I81" s="231" t="s">
        <v>147</v>
      </c>
      <c r="J81" s="231"/>
      <c r="K81" s="231"/>
    </row>
    <row r="82" spans="1:14">
      <c r="G82" s="117"/>
      <c r="H82" s="117"/>
      <c r="I82" s="232" t="s">
        <v>148</v>
      </c>
      <c r="J82" s="232"/>
      <c r="K82" s="232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8">
    <mergeCell ref="I81:K81"/>
    <mergeCell ref="I82:K82"/>
    <mergeCell ref="D8:E8"/>
    <mergeCell ref="F8:H8"/>
    <mergeCell ref="A12:B12"/>
    <mergeCell ref="I74:K74"/>
    <mergeCell ref="I76:K76"/>
    <mergeCell ref="I77:K77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300" r:id="rId1"/>
  <rowBreaks count="1" manualBreakCount="1">
    <brk id="39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topLeftCell="A57" zoomScale="80" zoomScaleSheetLayoutView="80" workbookViewId="0">
      <selection activeCell="F70" sqref="F70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2" max="12" width="15.5703125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141</v>
      </c>
      <c r="N5" s="44"/>
    </row>
    <row r="6" spans="1:14">
      <c r="A6" s="4"/>
      <c r="C6" s="22"/>
      <c r="J6" s="3" t="s">
        <v>3</v>
      </c>
      <c r="K6" s="3" t="s">
        <v>152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206" t="s">
        <v>8</v>
      </c>
      <c r="C10" s="129">
        <f>C11</f>
        <v>21589005295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206" t="s">
        <v>9</v>
      </c>
      <c r="C11" s="129">
        <f>C12</f>
        <v>21589005295</v>
      </c>
      <c r="D11" s="94">
        <f t="shared" ref="D11:I11" si="0">D12</f>
        <v>0.52193277040928165</v>
      </c>
      <c r="E11" s="94">
        <f t="shared" si="0"/>
        <v>0.52193277040928165</v>
      </c>
      <c r="F11" s="94">
        <f t="shared" si="0"/>
        <v>11268009344</v>
      </c>
      <c r="G11" s="94">
        <f t="shared" si="0"/>
        <v>52.193277040928166</v>
      </c>
      <c r="H11" s="94">
        <f t="shared" si="0"/>
        <v>52.193277040928166</v>
      </c>
      <c r="I11" s="94">
        <f t="shared" si="0"/>
        <v>51.671344270518887</v>
      </c>
      <c r="J11" s="6">
        <f>C11-F11</f>
        <v>10320995951</v>
      </c>
      <c r="K11" s="6">
        <f>J11/C11*100</f>
        <v>47.806722959071841</v>
      </c>
      <c r="L11" s="9"/>
      <c r="N11" s="1"/>
    </row>
    <row r="12" spans="1:14" ht="36" customHeight="1">
      <c r="A12" s="236" t="s">
        <v>66</v>
      </c>
      <c r="B12" s="237"/>
      <c r="C12" s="127">
        <f>C13+C49+C55+C64+C68</f>
        <v>21589005295</v>
      </c>
      <c r="D12" s="126">
        <f>E12</f>
        <v>0.52193277040928165</v>
      </c>
      <c r="E12" s="126">
        <f>F12/C12*100%</f>
        <v>0.52193277040928165</v>
      </c>
      <c r="F12" s="126">
        <f>F13+F68+F49+F55+F64</f>
        <v>11268009344</v>
      </c>
      <c r="G12" s="126">
        <f>H12</f>
        <v>52.193277040928166</v>
      </c>
      <c r="H12" s="126">
        <f>F12/C12*100</f>
        <v>52.193277040928166</v>
      </c>
      <c r="I12" s="126">
        <f>H12-E12</f>
        <v>51.671344270518887</v>
      </c>
      <c r="J12" s="126">
        <f>J13+J68+J49+J55+J64</f>
        <v>10320995951</v>
      </c>
      <c r="K12" s="146">
        <f>J12/C12*100</f>
        <v>47.806722959071841</v>
      </c>
      <c r="L12" s="203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0.55018860781451118</v>
      </c>
      <c r="E13" s="57">
        <f>F13/C13*100%</f>
        <v>0.55018860781451118</v>
      </c>
      <c r="F13" s="57">
        <f t="shared" si="1"/>
        <v>7606335375</v>
      </c>
      <c r="G13" s="57">
        <f>H13</f>
        <v>55.018860781451117</v>
      </c>
      <c r="H13" s="57">
        <f>F13/C13*100</f>
        <v>55.018860781451117</v>
      </c>
      <c r="I13" s="57">
        <f>H13-E13</f>
        <v>54.468672173636605</v>
      </c>
      <c r="J13" s="59">
        <f>C13-F13</f>
        <v>6218624406</v>
      </c>
      <c r="K13" s="58">
        <f>J13/C13*100</f>
        <v>44.981139218548876</v>
      </c>
      <c r="L13" s="58"/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F14" si="2">SUM(C15:C20)</f>
        <v>140773000</v>
      </c>
      <c r="D14" s="38">
        <f>E14</f>
        <v>0.35322824689393562</v>
      </c>
      <c r="E14" s="38">
        <f>F14/C14*100%</f>
        <v>0.35322824689393562</v>
      </c>
      <c r="F14" s="36">
        <f t="shared" si="2"/>
        <v>49725000</v>
      </c>
      <c r="G14" s="90">
        <f>H14</f>
        <v>35.322824689393563</v>
      </c>
      <c r="H14" s="90">
        <f>F14/C14*100</f>
        <v>35.322824689393563</v>
      </c>
      <c r="I14" s="99">
        <f>H14-E14</f>
        <v>34.969596442499629</v>
      </c>
      <c r="J14" s="52">
        <f>C14-F14</f>
        <v>91048000</v>
      </c>
      <c r="K14" s="51">
        <f>J14/C14*100</f>
        <v>64.677175310606444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208">
        <f>E15</f>
        <v>0.4693121969025395</v>
      </c>
      <c r="E15" s="208">
        <f>F15/C15*100%</f>
        <v>0.4693121969025395</v>
      </c>
      <c r="F15" s="209">
        <f>4500000+4500000+4500000+4500000+4500000+4500000+4500000+4500000</f>
        <v>36000000</v>
      </c>
      <c r="G15" s="210">
        <f>H15</f>
        <v>46.931219690253947</v>
      </c>
      <c r="H15" s="210">
        <f>F15/C15*100</f>
        <v>46.931219690253947</v>
      </c>
      <c r="I15" s="102">
        <f>H15-E15</f>
        <v>46.461907493351404</v>
      </c>
      <c r="J15" s="89">
        <f t="shared" ref="J15:J72" si="3">C15-F15</f>
        <v>40708000</v>
      </c>
      <c r="K15" s="12">
        <f>J15/C15*100</f>
        <v>53.068780309746053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208">
        <f t="shared" ref="D16:D20" si="4">E16</f>
        <v>0</v>
      </c>
      <c r="E16" s="208">
        <f t="shared" ref="E16:E20" si="5">F16/C16*100%</f>
        <v>0</v>
      </c>
      <c r="F16" s="209">
        <v>0</v>
      </c>
      <c r="G16" s="210">
        <f t="shared" ref="G16:G21" si="6">H16</f>
        <v>0</v>
      </c>
      <c r="H16" s="210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72" si="9">J16/C16*100</f>
        <v>100</v>
      </c>
      <c r="L16" s="202"/>
      <c r="N16" s="1"/>
    </row>
    <row r="17" spans="1:14" ht="19.149999999999999" customHeight="1">
      <c r="A17" s="10"/>
      <c r="B17" s="48" t="s">
        <v>15</v>
      </c>
      <c r="C17" s="23">
        <v>8450000</v>
      </c>
      <c r="D17" s="208">
        <f t="shared" si="4"/>
        <v>1</v>
      </c>
      <c r="E17" s="208">
        <f t="shared" si="5"/>
        <v>1</v>
      </c>
      <c r="F17" s="209">
        <v>8450000</v>
      </c>
      <c r="G17" s="210">
        <f t="shared" si="6"/>
        <v>100</v>
      </c>
      <c r="H17" s="210">
        <f t="shared" si="7"/>
        <v>100</v>
      </c>
      <c r="I17" s="102">
        <f t="shared" si="8"/>
        <v>99</v>
      </c>
      <c r="J17" s="89">
        <f t="shared" si="3"/>
        <v>0</v>
      </c>
      <c r="K17" s="12">
        <f t="shared" si="9"/>
        <v>0</v>
      </c>
      <c r="L17" s="202"/>
      <c r="N17" s="1"/>
    </row>
    <row r="18" spans="1:14" ht="19.149999999999999" customHeight="1">
      <c r="A18" s="10"/>
      <c r="B18" s="48" t="s">
        <v>16</v>
      </c>
      <c r="C18" s="23">
        <v>7350000</v>
      </c>
      <c r="D18" s="208">
        <f t="shared" si="4"/>
        <v>0.71768707482993199</v>
      </c>
      <c r="E18" s="208">
        <f t="shared" si="5"/>
        <v>0.71768707482993199</v>
      </c>
      <c r="F18" s="209">
        <v>5275000</v>
      </c>
      <c r="G18" s="210">
        <f t="shared" si="6"/>
        <v>71.768707482993193</v>
      </c>
      <c r="H18" s="210">
        <f t="shared" si="7"/>
        <v>71.768707482993193</v>
      </c>
      <c r="I18" s="102">
        <f t="shared" si="8"/>
        <v>71.051020408163268</v>
      </c>
      <c r="J18" s="89">
        <f t="shared" si="3"/>
        <v>2075000</v>
      </c>
      <c r="K18" s="12">
        <f t="shared" si="9"/>
        <v>28.2312925170068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202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202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0.97515155430944755</v>
      </c>
      <c r="E21" s="38">
        <f>SUM(E22:E24)</f>
        <v>0.97515155430944755</v>
      </c>
      <c r="F21" s="36">
        <f>SUM(F22:F24)</f>
        <v>5995139600</v>
      </c>
      <c r="G21" s="90">
        <f t="shared" si="6"/>
        <v>56.657942002293218</v>
      </c>
      <c r="H21" s="90">
        <f>F21/C21*100</f>
        <v>56.657942002293218</v>
      </c>
      <c r="I21" s="99">
        <f>E21-H21</f>
        <v>-55.68279044798377</v>
      </c>
      <c r="J21" s="52">
        <f t="shared" si="3"/>
        <v>4586147662</v>
      </c>
      <c r="K21" s="51">
        <f t="shared" si="9"/>
        <v>43.342057997706782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0.56787882703672021</v>
      </c>
      <c r="E22" s="85">
        <f>F22/C22*100%</f>
        <v>0.56787882703672021</v>
      </c>
      <c r="F22" s="103">
        <f>586844600+275805000+987621900+615632300+876761900+5170800+589503100+343100000+520316000+343100000+247038500+343100000+247145500</f>
        <v>5981139600</v>
      </c>
      <c r="G22" s="104">
        <f>H22</f>
        <v>56.787882703672018</v>
      </c>
      <c r="H22" s="104">
        <f>F22/C22*100</f>
        <v>56.787882703672018</v>
      </c>
      <c r="I22" s="105">
        <f>E22-H22</f>
        <v>-56.220003876635296</v>
      </c>
      <c r="J22" s="89">
        <f t="shared" si="3"/>
        <v>4551282662</v>
      </c>
      <c r="K22" s="12">
        <f t="shared" si="9"/>
        <v>43.212117296327975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202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0.40727272727272729</v>
      </c>
      <c r="E24" s="85">
        <f t="shared" si="11"/>
        <v>0.40727272727272729</v>
      </c>
      <c r="F24" s="103">
        <f>1750000+1750000+1750000+1750000+1750000+1750000+1750000+1750000</f>
        <v>14000000</v>
      </c>
      <c r="G24" s="104">
        <f t="shared" si="12"/>
        <v>40.727272727272727</v>
      </c>
      <c r="H24" s="104">
        <f t="shared" si="13"/>
        <v>40.727272727272727</v>
      </c>
      <c r="I24" s="105">
        <f t="shared" si="14"/>
        <v>-40.32</v>
      </c>
      <c r="J24" s="89">
        <f t="shared" si="3"/>
        <v>20375000</v>
      </c>
      <c r="K24" s="12">
        <f t="shared" si="9"/>
        <v>59.27272727272728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0.53285968028419184</v>
      </c>
      <c r="E25" s="38">
        <f>E26</f>
        <v>0.53285968028419184</v>
      </c>
      <c r="F25" s="36">
        <f>F26</f>
        <v>12000000</v>
      </c>
      <c r="G25" s="90">
        <f>H25</f>
        <v>53.285968028419184</v>
      </c>
      <c r="H25" s="90">
        <f>F25/C25*100</f>
        <v>53.285968028419184</v>
      </c>
      <c r="I25" s="99">
        <f>E25-H25</f>
        <v>-52.753108348134994</v>
      </c>
      <c r="J25" s="52">
        <f t="shared" si="3"/>
        <v>10520000</v>
      </c>
      <c r="K25" s="51">
        <f t="shared" si="9"/>
        <v>46.714031971580816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98">
        <f>E26</f>
        <v>0.53285968028419184</v>
      </c>
      <c r="E26" s="198">
        <f>F26/C26*100%</f>
        <v>0.53285968028419184</v>
      </c>
      <c r="F26" s="134">
        <f>1500000+1500000+1500000+1500000+1500000+1500000+1500000+1500000</f>
        <v>12000000</v>
      </c>
      <c r="G26" s="101">
        <f>H26</f>
        <v>53.285968028419184</v>
      </c>
      <c r="H26" s="101">
        <f>F26/C26*100</f>
        <v>53.285968028419184</v>
      </c>
      <c r="I26" s="102">
        <f>E26-H26</f>
        <v>-52.753108348134994</v>
      </c>
      <c r="J26" s="89">
        <f t="shared" si="3"/>
        <v>10520000</v>
      </c>
      <c r="K26" s="12">
        <f t="shared" si="9"/>
        <v>46.714031971580816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E27</f>
        <v>0.58820377005717894</v>
      </c>
      <c r="E27" s="38">
        <f>F27/C27*100%</f>
        <v>0.58820377005717894</v>
      </c>
      <c r="F27" s="36">
        <f>SUM(F28:F35)</f>
        <v>491380598</v>
      </c>
      <c r="G27" s="90">
        <f t="shared" ref="G27:G35" si="15">H27</f>
        <v>58.820377005717894</v>
      </c>
      <c r="H27" s="90">
        <f>F27/C27*100</f>
        <v>58.820377005717894</v>
      </c>
      <c r="I27" s="99">
        <f>E27-H27</f>
        <v>-58.232173235660717</v>
      </c>
      <c r="J27" s="52">
        <f t="shared" si="3"/>
        <v>344011188</v>
      </c>
      <c r="K27" s="51">
        <f t="shared" si="9"/>
        <v>41.179622994282113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0.42635327953032287</v>
      </c>
      <c r="E28" s="14">
        <f>F28/C28*100%</f>
        <v>0.42635327953032287</v>
      </c>
      <c r="F28" s="106">
        <f>1069000+1205800+1785479+739000+271391+2626970+820000+1869081+805000+1842800+935200+1600000+1309500+383000</f>
        <v>17262221</v>
      </c>
      <c r="G28" s="101">
        <f t="shared" si="15"/>
        <v>42.635327953032288</v>
      </c>
      <c r="H28" s="101">
        <f t="shared" ref="H28:H35" si="16">F28/C28*100</f>
        <v>42.635327953032288</v>
      </c>
      <c r="I28" s="102">
        <f>E28-H28</f>
        <v>-42.208974673501963</v>
      </c>
      <c r="J28" s="89">
        <f t="shared" si="3"/>
        <v>23225848</v>
      </c>
      <c r="K28" s="12">
        <f t="shared" si="9"/>
        <v>57.364672046967712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1.0524443788436837</v>
      </c>
      <c r="E29" s="14">
        <f t="shared" ref="E29:E35" si="18">F29/C29*100%</f>
        <v>1.0524443788436837</v>
      </c>
      <c r="F29" s="106">
        <f>48249723+4577000+5601100+4619985+2222000+870288+2844992+7535999+2390000+7589822+2380000+4229300+2645000+3055600+5742325+6109000+6077149+1205400+332000+1670027+9898650+19240448+18371949+3210000+1186716</f>
        <v>171854473</v>
      </c>
      <c r="G29" s="101">
        <f t="shared" si="15"/>
        <v>105.24443788436837</v>
      </c>
      <c r="H29" s="101">
        <f t="shared" si="16"/>
        <v>105.24443788436837</v>
      </c>
      <c r="I29" s="102">
        <f t="shared" ref="I29:I35" si="19">E29-H29</f>
        <v>-104.19199350552468</v>
      </c>
      <c r="J29" s="89">
        <f t="shared" si="3"/>
        <v>-8563684</v>
      </c>
      <c r="K29" s="12">
        <f t="shared" si="9"/>
        <v>-5.2444378843683577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0.47073344807348377</v>
      </c>
      <c r="E30" s="14">
        <f t="shared" si="18"/>
        <v>0.47073344807348377</v>
      </c>
      <c r="F30" s="106">
        <f>3112000+3567351+707283+2239604+918922+2738000+2796490+2082000+1092000+4000000+2206485+2173500+1963700+7973000+1740000</f>
        <v>39310335</v>
      </c>
      <c r="G30" s="101">
        <f t="shared" si="15"/>
        <v>47.073344807348377</v>
      </c>
      <c r="H30" s="101">
        <f t="shared" si="16"/>
        <v>47.073344807348377</v>
      </c>
      <c r="I30" s="102">
        <f t="shared" si="19"/>
        <v>-46.602611359274896</v>
      </c>
      <c r="J30" s="89">
        <f t="shared" si="3"/>
        <v>44198358</v>
      </c>
      <c r="K30" s="12">
        <f t="shared" si="9"/>
        <v>52.926655192651616</v>
      </c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0.50656871605358056</v>
      </c>
      <c r="E31" s="14">
        <f t="shared" si="18"/>
        <v>0.50656871605358056</v>
      </c>
      <c r="F31" s="106">
        <f>7680000+2560000+3200000+1600000+1200000+1500000+1900000+2496000+1200000+11200000+570000+2500000+2500000+2496600+3840000+5760000+2560000+1280000+570000</f>
        <v>56612600</v>
      </c>
      <c r="G31" s="101">
        <f t="shared" si="15"/>
        <v>50.656871605358056</v>
      </c>
      <c r="H31" s="101">
        <f t="shared" si="16"/>
        <v>50.656871605358056</v>
      </c>
      <c r="I31" s="102">
        <f t="shared" si="19"/>
        <v>-50.150302889304477</v>
      </c>
      <c r="J31" s="89">
        <f t="shared" si="3"/>
        <v>55144400</v>
      </c>
      <c r="K31" s="12">
        <f t="shared" si="9"/>
        <v>49.343128394641944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0.4865215540339452</v>
      </c>
      <c r="E32" s="14">
        <f t="shared" si="18"/>
        <v>0.4865215540339452</v>
      </c>
      <c r="F32" s="106">
        <f>2135000+1500000+3429552+2344658+3160791+1100000+4966880+1100000+2005050+6997240+900000+4500000+2005250+5000000+2291000+997240</f>
        <v>44432661</v>
      </c>
      <c r="G32" s="101">
        <f t="shared" si="15"/>
        <v>48.652155403394524</v>
      </c>
      <c r="H32" s="101">
        <f t="shared" si="16"/>
        <v>48.652155403394524</v>
      </c>
      <c r="I32" s="102">
        <f t="shared" si="19"/>
        <v>-48.165633849360582</v>
      </c>
      <c r="J32" s="89">
        <f t="shared" si="3"/>
        <v>46894559</v>
      </c>
      <c r="K32" s="12">
        <f t="shared" si="9"/>
        <v>51.347844596605484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0.45001007517875463</v>
      </c>
      <c r="E33" s="14">
        <f t="shared" si="18"/>
        <v>0.45001007517875463</v>
      </c>
      <c r="F33" s="106">
        <f>750000+4453000+927150+834435+1200000+661367+244000+915000+300000+1743042+2000000+271964+7417875+3090500+450000+480000</f>
        <v>25738333</v>
      </c>
      <c r="G33" s="101">
        <f t="shared" si="15"/>
        <v>45.001007517875465</v>
      </c>
      <c r="H33" s="101">
        <f t="shared" si="16"/>
        <v>45.001007517875465</v>
      </c>
      <c r="I33" s="102">
        <f t="shared" si="19"/>
        <v>-44.550997442696712</v>
      </c>
      <c r="J33" s="89">
        <f t="shared" si="3"/>
        <v>31456682</v>
      </c>
      <c r="K33" s="12">
        <f t="shared" si="9"/>
        <v>54.998992482124528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0.72604456824512531</v>
      </c>
      <c r="E34" s="14">
        <f t="shared" si="18"/>
        <v>0.72604456824512531</v>
      </c>
      <c r="F34" s="106">
        <f>7500000+5000000+5000000+5000000+1125000+2500000+2500000+1000000+2500000+25000000+5000000+570000+3000000+2500000+2500000+2500000+2500000+2500000</f>
        <v>78195000</v>
      </c>
      <c r="G34" s="101">
        <f t="shared" si="15"/>
        <v>72.604456824512525</v>
      </c>
      <c r="H34" s="101">
        <f t="shared" si="16"/>
        <v>72.604456824512525</v>
      </c>
      <c r="I34" s="102">
        <f t="shared" si="19"/>
        <v>-71.878412256267396</v>
      </c>
      <c r="J34" s="89">
        <f t="shared" si="3"/>
        <v>29505000</v>
      </c>
      <c r="K34" s="12">
        <f t="shared" si="9"/>
        <v>27.395543175487465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0.32185968077723803</v>
      </c>
      <c r="E35" s="14">
        <f t="shared" si="18"/>
        <v>0.32185968077723803</v>
      </c>
      <c r="F35" s="106">
        <f>1800000+1000000+2770000+600000+2000000+2000000+1900000+3750000+1000000+1500000+550000+600000+3024975+1500000+27500000+1300000+1410000+1440000+1110000+1220000</f>
        <v>57974975</v>
      </c>
      <c r="G35" s="101">
        <f t="shared" si="15"/>
        <v>32.1859680777238</v>
      </c>
      <c r="H35" s="101">
        <f t="shared" si="16"/>
        <v>32.1859680777238</v>
      </c>
      <c r="I35" s="102">
        <f t="shared" si="19"/>
        <v>-31.864108396946563</v>
      </c>
      <c r="J35" s="89">
        <f t="shared" si="3"/>
        <v>122150025</v>
      </c>
      <c r="K35" s="12">
        <f t="shared" si="9"/>
        <v>67.8140319222762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>E36</f>
        <v>0.10365186471888722</v>
      </c>
      <c r="E36" s="38">
        <f>F36/C36*100%</f>
        <v>0.10365186471888722</v>
      </c>
      <c r="F36" s="36">
        <f>SUM(F37:F38)</f>
        <v>14000000</v>
      </c>
      <c r="G36" s="36">
        <f>H36</f>
        <v>10.365186471888723</v>
      </c>
      <c r="H36" s="36">
        <f>F36/C36*100</f>
        <v>10.365186471888723</v>
      </c>
      <c r="I36" s="36">
        <f t="shared" ref="I36" si="20">SUM(I38:I38)</f>
        <v>0</v>
      </c>
      <c r="J36" s="52">
        <f t="shared" si="3"/>
        <v>121067517</v>
      </c>
      <c r="K36" s="51">
        <f t="shared" si="9"/>
        <v>89.63481352811128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0.1728395061728395</v>
      </c>
      <c r="E37" s="133">
        <f>F37/C37*100%</f>
        <v>0.1728395061728395</v>
      </c>
      <c r="F37" s="134">
        <f>4000000+10000000</f>
        <v>14000000</v>
      </c>
      <c r="G37" s="134">
        <f>H37</f>
        <v>17.283950617283949</v>
      </c>
      <c r="H37" s="134">
        <f>F37/C37*100</f>
        <v>17.283950617283949</v>
      </c>
      <c r="I37" s="134">
        <f>E37-H37</f>
        <v>-17.111111111111111</v>
      </c>
      <c r="J37" s="122">
        <f>C37-F37</f>
        <v>67000000</v>
      </c>
      <c r="K37" s="123">
        <f>J37/C37*100</f>
        <v>82.716049382716051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1.3557877472901709</v>
      </c>
      <c r="E39" s="38">
        <f>SUM(E40:E42)</f>
        <v>1.3557877472901709</v>
      </c>
      <c r="F39" s="36">
        <f>SUM(F40:F42)</f>
        <v>816877177</v>
      </c>
      <c r="G39" s="90">
        <f t="shared" ref="G39:G42" si="21">H39</f>
        <v>50.905536205330485</v>
      </c>
      <c r="H39" s="90">
        <f>F39/C39*100</f>
        <v>50.905536205330485</v>
      </c>
      <c r="I39" s="99">
        <f>E39-H39</f>
        <v>-49.549748458040312</v>
      </c>
      <c r="J39" s="52">
        <f t="shared" si="3"/>
        <v>787815039</v>
      </c>
      <c r="K39" s="51">
        <f t="shared" si="9"/>
        <v>49.094463794669515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f>E40</f>
        <v>0.47696988950293095</v>
      </c>
      <c r="E40" s="14">
        <f>F40/C40*100%</f>
        <v>0.47696988950293095</v>
      </c>
      <c r="F40" s="106">
        <f>2000000+1782011+882698+750000+500000+300000+500000+300000+1250000+1250000+2400000+300000+1200000+500000+1600000+1500000+1750000</f>
        <v>18764709</v>
      </c>
      <c r="G40" s="104">
        <f t="shared" si="21"/>
        <v>47.696988950293097</v>
      </c>
      <c r="H40" s="104">
        <f t="shared" ref="H40:H42" si="22">F40/C40*100</f>
        <v>47.696988950293097</v>
      </c>
      <c r="I40" s="105">
        <f t="shared" ref="I40:I42" si="23">E40-H40</f>
        <v>-47.220019060790165</v>
      </c>
      <c r="J40" s="89">
        <f t="shared" si="3"/>
        <v>20576787</v>
      </c>
      <c r="K40" s="12">
        <f t="shared" si="9"/>
        <v>52.303011049706903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:D42" si="24">E41</f>
        <v>0.21859895038700763</v>
      </c>
      <c r="E41" s="14">
        <f t="shared" ref="E41:E42" si="25">F41/C41*100%</f>
        <v>0.21859895038700763</v>
      </c>
      <c r="F41" s="106">
        <f>6786602+3106436+2575000+1023850+2000000+632698+1200000+2047000+3000000+4008704+5000000+5000000+1500000+2700365+84869+5000000+5000000+2808718+3400000+3700000+1000000+2596347+448787+1950000+1637000+3300000+2500000+3084092+6332000+1800000+12510000+3000000+5000000+5020000+5750000</f>
        <v>116502468</v>
      </c>
      <c r="G41" s="104">
        <f t="shared" si="21"/>
        <v>21.859895038700763</v>
      </c>
      <c r="H41" s="104">
        <f t="shared" si="22"/>
        <v>21.859895038700763</v>
      </c>
      <c r="I41" s="105">
        <f t="shared" si="23"/>
        <v>-21.641296088313755</v>
      </c>
      <c r="J41" s="89">
        <f t="shared" si="3"/>
        <v>416448252</v>
      </c>
      <c r="K41" s="12">
        <f t="shared" si="9"/>
        <v>78.140104961299244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f t="shared" si="24"/>
        <v>0.66021890740023248</v>
      </c>
      <c r="E42" s="14">
        <f t="shared" si="25"/>
        <v>0.66021890740023248</v>
      </c>
      <c r="F42" s="106">
        <f>6200000+6200000+6200000+6200000+234000000+2710000+78000000+2790000+6200000+78000000+6000000+78000000+6200000+78000000+6200000+2710000+78000000</f>
        <v>681610000</v>
      </c>
      <c r="G42" s="104">
        <f t="shared" si="21"/>
        <v>66.021890740023252</v>
      </c>
      <c r="H42" s="104">
        <f t="shared" si="22"/>
        <v>66.021890740023252</v>
      </c>
      <c r="I42" s="105">
        <f t="shared" si="23"/>
        <v>-65.361671832623017</v>
      </c>
      <c r="J42" s="89">
        <f t="shared" si="3"/>
        <v>350790000</v>
      </c>
      <c r="K42" s="12">
        <f t="shared" si="9"/>
        <v>33.978109259976755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E43</f>
        <v>0.44972368910670035</v>
      </c>
      <c r="E43" s="39">
        <f>F43/C43*100%</f>
        <v>0.44972368910670035</v>
      </c>
      <c r="F43" s="37">
        <f>SUM(F44:F48)</f>
        <v>227213000</v>
      </c>
      <c r="G43" s="91">
        <f>H43</f>
        <v>44.972368910670035</v>
      </c>
      <c r="H43" s="91">
        <f>F43/C43*100</f>
        <v>44.972368910670035</v>
      </c>
      <c r="I43" s="91">
        <f>E43-H43</f>
        <v>-44.522645221563337</v>
      </c>
      <c r="J43" s="52">
        <f t="shared" si="3"/>
        <v>278015000</v>
      </c>
      <c r="K43" s="51">
        <f t="shared" si="9"/>
        <v>55.027631089329965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0.60651259488468789</v>
      </c>
      <c r="E44" s="14">
        <f>F44/C44*100%</f>
        <v>0.60651259488468789</v>
      </c>
      <c r="F44" s="107">
        <f>3920000+560000+5000000+4000000+1750000+1920000+2600000+2885000+520000+4100000+4375000+5000000+22070000+12960000+1150000+7300000+1100000+3200000+3320000+9050000+2110000+9720000+125000+2800000+1000000+2650000+5660000+1200000+800000+2000000+600000</f>
        <v>125445000</v>
      </c>
      <c r="G44" s="104">
        <f t="shared" ref="G44:G48" si="26">H44</f>
        <v>60.651259488468789</v>
      </c>
      <c r="H44" s="104">
        <f t="shared" ref="H44:H48" si="27">F44/C44*100</f>
        <v>60.651259488468789</v>
      </c>
      <c r="I44" s="118">
        <f t="shared" ref="I44:I47" si="28">E44-H44</f>
        <v>-60.044746893584097</v>
      </c>
      <c r="J44" s="89">
        <f t="shared" si="3"/>
        <v>81385000</v>
      </c>
      <c r="K44" s="12">
        <f t="shared" si="9"/>
        <v>39.348740511531211</v>
      </c>
      <c r="L44" s="16"/>
    </row>
    <row r="45" spans="1:14" ht="37.15" customHeight="1">
      <c r="A45" s="15"/>
      <c r="B45" s="199" t="s">
        <v>73</v>
      </c>
      <c r="C45" s="24">
        <v>9240000</v>
      </c>
      <c r="D45" s="14">
        <f t="shared" ref="D45:D48" si="29">E45</f>
        <v>0.16450216450216451</v>
      </c>
      <c r="E45" s="14">
        <f t="shared" ref="E45:E48" si="30">F45/C45*100%</f>
        <v>0.16450216450216451</v>
      </c>
      <c r="F45" s="107">
        <v>1520000</v>
      </c>
      <c r="G45" s="104">
        <f t="shared" si="26"/>
        <v>16.450216450216452</v>
      </c>
      <c r="H45" s="104">
        <f t="shared" si="27"/>
        <v>16.450216450216452</v>
      </c>
      <c r="I45" s="118">
        <f t="shared" si="28"/>
        <v>-16.285714285714288</v>
      </c>
      <c r="J45" s="89">
        <f t="shared" si="3"/>
        <v>7720000</v>
      </c>
      <c r="K45" s="12">
        <f t="shared" si="9"/>
        <v>83.549783549783555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0.48323106665545934</v>
      </c>
      <c r="E46" s="14">
        <f t="shared" si="30"/>
        <v>0.48323106665545934</v>
      </c>
      <c r="F46" s="107">
        <f>2640000+550000+6070000+1000000+1050000+4060000+730000+5830000+1540000+1460000+4130000+700000+4000000+3220000+4070000+3280000+1750000+6870000+3210000+1330000</f>
        <v>57490000</v>
      </c>
      <c r="G46" s="104">
        <f t="shared" si="26"/>
        <v>48.323106665545936</v>
      </c>
      <c r="H46" s="104">
        <f t="shared" si="27"/>
        <v>48.323106665545936</v>
      </c>
      <c r="I46" s="105">
        <f t="shared" si="28"/>
        <v>-47.83987559889048</v>
      </c>
      <c r="J46" s="89">
        <f t="shared" si="3"/>
        <v>61480000</v>
      </c>
      <c r="K46" s="12">
        <f t="shared" si="9"/>
        <v>51.676893334454064</v>
      </c>
      <c r="L46" s="16"/>
    </row>
    <row r="47" spans="1:14" ht="19.149999999999999" customHeight="1">
      <c r="A47" s="15"/>
      <c r="B47" s="200" t="s">
        <v>42</v>
      </c>
      <c r="C47" s="24">
        <v>80708000</v>
      </c>
      <c r="D47" s="14">
        <f t="shared" si="29"/>
        <v>0.28904197849036029</v>
      </c>
      <c r="E47" s="14">
        <f t="shared" si="30"/>
        <v>0.28904197849036029</v>
      </c>
      <c r="F47" s="107">
        <v>23328000</v>
      </c>
      <c r="G47" s="104">
        <f t="shared" si="26"/>
        <v>28.904197849036027</v>
      </c>
      <c r="H47" s="104">
        <f t="shared" si="27"/>
        <v>28.904197849036027</v>
      </c>
      <c r="I47" s="105">
        <f t="shared" si="28"/>
        <v>-28.615155870545667</v>
      </c>
      <c r="J47" s="89">
        <f t="shared" si="3"/>
        <v>57380000</v>
      </c>
      <c r="K47" s="12">
        <f t="shared" si="9"/>
        <v>71.095802150963976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0.21714349575324096</v>
      </c>
      <c r="E48" s="14">
        <f t="shared" si="30"/>
        <v>0.21714349575324096</v>
      </c>
      <c r="F48" s="107">
        <f>15390000+4040000</f>
        <v>19430000</v>
      </c>
      <c r="G48" s="104">
        <f t="shared" si="26"/>
        <v>21.714349575324096</v>
      </c>
      <c r="H48" s="104">
        <f t="shared" si="27"/>
        <v>21.714349575324096</v>
      </c>
      <c r="I48" s="105">
        <f>E48-H48</f>
        <v>-21.497206079570855</v>
      </c>
      <c r="J48" s="89">
        <f t="shared" si="3"/>
        <v>70050000</v>
      </c>
      <c r="K48" s="12">
        <f t="shared" si="9"/>
        <v>78.285650424675907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0.81818181818181823</v>
      </c>
      <c r="E49" s="67">
        <f>E50</f>
        <v>0.35247804582618353</v>
      </c>
      <c r="F49" s="67">
        <f>F50+F52</f>
        <v>125460000</v>
      </c>
      <c r="G49" s="67">
        <f t="shared" ref="G49:I49" si="31">G50</f>
        <v>35.24780458261835</v>
      </c>
      <c r="H49" s="67">
        <f t="shared" si="31"/>
        <v>35.24780458261835</v>
      </c>
      <c r="I49" s="67">
        <f t="shared" si="31"/>
        <v>-34.895326536792169</v>
      </c>
      <c r="J49" s="59">
        <f t="shared" si="3"/>
        <v>72552940</v>
      </c>
      <c r="K49" s="58">
        <f t="shared" si="9"/>
        <v>36.640504403399092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0.35247804582618353</v>
      </c>
      <c r="E50" s="109">
        <f>SUM(E51:E51)</f>
        <v>0.35247804582618353</v>
      </c>
      <c r="F50" s="110">
        <f>SUM(F51)</f>
        <v>17460000</v>
      </c>
      <c r="G50" s="110">
        <f t="shared" ref="G50:I50" si="32">SUM(G51)</f>
        <v>35.24780458261835</v>
      </c>
      <c r="H50" s="110">
        <f>F50/C50*100</f>
        <v>35.24780458261835</v>
      </c>
      <c r="I50" s="110">
        <f t="shared" si="32"/>
        <v>-34.895326536792169</v>
      </c>
      <c r="J50" s="52">
        <f t="shared" si="3"/>
        <v>32075000</v>
      </c>
      <c r="K50" s="51">
        <f t="shared" si="9"/>
        <v>64.752195417381657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0.35247804582618353</v>
      </c>
      <c r="E51" s="108">
        <f>F51/C51*100%</f>
        <v>0.35247804582618353</v>
      </c>
      <c r="F51" s="107">
        <v>17460000</v>
      </c>
      <c r="G51" s="111">
        <f>H51</f>
        <v>35.24780458261835</v>
      </c>
      <c r="H51" s="111">
        <f>F51/C51*100</f>
        <v>35.24780458261835</v>
      </c>
      <c r="I51" s="108">
        <f>E51-H51</f>
        <v>-34.895326536792169</v>
      </c>
      <c r="J51" s="89">
        <f t="shared" si="3"/>
        <v>32075000</v>
      </c>
      <c r="K51" s="12">
        <f t="shared" si="9"/>
        <v>64.752195417381657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E52</f>
        <v>0.81818181818181823</v>
      </c>
      <c r="E52" s="39">
        <f>E53+E54</f>
        <v>0.81818181818181823</v>
      </c>
      <c r="F52" s="37">
        <f>SUM(F53:F54)</f>
        <v>108000000</v>
      </c>
      <c r="G52" s="37">
        <f>H52</f>
        <v>72.738078127969715</v>
      </c>
      <c r="H52" s="37">
        <f>F52/C52*100</f>
        <v>72.738078127969715</v>
      </c>
      <c r="I52" s="37">
        <f>E52-H52</f>
        <v>-71.919896309787902</v>
      </c>
      <c r="J52" s="52">
        <f t="shared" si="3"/>
        <v>40477940</v>
      </c>
      <c r="K52" s="51">
        <f t="shared" si="9"/>
        <v>27.261921872030282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4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9"/>
    </row>
    <row r="54" spans="1:14" ht="29.45" customHeight="1">
      <c r="A54" s="15"/>
      <c r="B54" s="64" t="s">
        <v>47</v>
      </c>
      <c r="C54" s="120">
        <v>132000000</v>
      </c>
      <c r="D54" s="14">
        <f t="shared" si="34"/>
        <v>0.81818181818181823</v>
      </c>
      <c r="E54" s="108">
        <f>F54/C54*100%</f>
        <v>0.81818181818181823</v>
      </c>
      <c r="F54" s="107">
        <f>6000000+6000000+6000000+6000000+6000000+6000000+60000000+6000000+6000000</f>
        <v>108000000</v>
      </c>
      <c r="G54" s="111">
        <f>H54</f>
        <v>81.818181818181827</v>
      </c>
      <c r="H54" s="111">
        <f>F54/C54*100</f>
        <v>81.818181818181827</v>
      </c>
      <c r="I54" s="108">
        <f>E54-H54</f>
        <v>-81.000000000000014</v>
      </c>
      <c r="J54" s="89">
        <f t="shared" si="3"/>
        <v>24000000</v>
      </c>
      <c r="K54" s="12">
        <f t="shared" si="9"/>
        <v>18.181818181818183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0.48862129915154784</v>
      </c>
      <c r="E55" s="79">
        <f>E56</f>
        <v>0.48862129915154784</v>
      </c>
      <c r="F55" s="113">
        <f>F56+F60</f>
        <v>2827319999</v>
      </c>
      <c r="G55" s="113">
        <f t="shared" ref="G55:I55" si="35">G56+G60</f>
        <v>48.862129915154782</v>
      </c>
      <c r="H55" s="113">
        <f t="shared" si="35"/>
        <v>48.862129915154782</v>
      </c>
      <c r="I55" s="113">
        <f t="shared" si="35"/>
        <v>-48.373508616003235</v>
      </c>
      <c r="J55" s="59">
        <f t="shared" si="3"/>
        <v>3038081575</v>
      </c>
      <c r="K55" s="58">
        <f t="shared" si="9"/>
        <v>51.796650863039439</v>
      </c>
      <c r="L55" s="77"/>
    </row>
    <row r="56" spans="1:14" ht="29.45" customHeight="1">
      <c r="A56" s="69" t="s">
        <v>91</v>
      </c>
      <c r="B56" s="204" t="s">
        <v>75</v>
      </c>
      <c r="C56" s="139">
        <f>C57+C58+C59</f>
        <v>5786321644</v>
      </c>
      <c r="D56" s="114">
        <f>E56</f>
        <v>0.48862129915154784</v>
      </c>
      <c r="E56" s="114">
        <f>F56/C56*100%</f>
        <v>0.48862129915154784</v>
      </c>
      <c r="F56" s="140">
        <f>F57+F58+F59</f>
        <v>2827319999</v>
      </c>
      <c r="G56" s="140">
        <f>H56</f>
        <v>48.862129915154782</v>
      </c>
      <c r="H56" s="140">
        <f>F56/C56*100</f>
        <v>48.862129915154782</v>
      </c>
      <c r="I56" s="140">
        <f>E56-H56</f>
        <v>-48.373508616003235</v>
      </c>
      <c r="J56" s="52">
        <f>C56-F56</f>
        <v>2959001645</v>
      </c>
      <c r="K56" s="51">
        <f t="shared" si="9"/>
        <v>51.137870084845218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0.8800533029214862</v>
      </c>
      <c r="E57" s="108">
        <f>F57/C57*100%</f>
        <v>0.8800533029214862</v>
      </c>
      <c r="F57" s="107">
        <f>12811000+10988000+10857940+8474300+11962442+9826442+10322702+14165000+14047965+9530000+10934732+12511000+10906091</f>
        <v>147337614</v>
      </c>
      <c r="G57" s="111">
        <f>H57</f>
        <v>88.005330292148614</v>
      </c>
      <c r="H57" s="111">
        <f>F57/C57*100</f>
        <v>88.005330292148614</v>
      </c>
      <c r="I57" s="108">
        <f>E57-H57</f>
        <v>-87.125276989227132</v>
      </c>
      <c r="J57" s="122">
        <f>C57-F57</f>
        <v>20081352</v>
      </c>
      <c r="K57" s="123">
        <f t="shared" si="9"/>
        <v>11.994669707851379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6">E58</f>
        <v>0.46062333261205962</v>
      </c>
      <c r="E58" s="108">
        <f t="shared" ref="E58:E59" si="37">F58/C58*100%</f>
        <v>0.46062333261205962</v>
      </c>
      <c r="F58" s="107">
        <f>33568000+30000000+30398000+30595600+2574500+33881770+23178900+35846000+2755927+39272726+24875310+29952600+34080000+30282000+44394700+54290000+38496025</f>
        <v>518442058</v>
      </c>
      <c r="G58" s="111">
        <f t="shared" ref="G58:G59" si="38">H58</f>
        <v>46.062333261205964</v>
      </c>
      <c r="H58" s="111">
        <f t="shared" ref="H58:H59" si="39">F58/C58*100</f>
        <v>46.062333261205964</v>
      </c>
      <c r="I58" s="108">
        <f t="shared" ref="I58:I59" si="40">E58-H58</f>
        <v>-45.601709928593905</v>
      </c>
      <c r="J58" s="122">
        <f t="shared" ref="J58:J59" si="41">C58-F58</f>
        <v>607080731</v>
      </c>
      <c r="K58" s="123">
        <f t="shared" si="9"/>
        <v>53.937666738794043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6"/>
        <v>0.48104998473232807</v>
      </c>
      <c r="E59" s="108">
        <f t="shared" si="37"/>
        <v>0.48104998473232807</v>
      </c>
      <c r="F59" s="107">
        <f>47710000+42763636+28800000+56250000+33600000+93150000+12708191+2574500+13500000+37500000+34140000+40200000+44400000+19250000+48150000+44700000+2790000+63000000+38400000+17640000+18624000+21450000+45000000+40200000+28800000+44700000+26550000+29700000+63000000+33600000+38400000+93150000+129840000+13500000+47250000+17460000+47250000+34200000+38400000+92550000+66300000+66300000+50400000+50400000+42900000+42900000+3800000+34200000+37500000+34140000+48000000+38400000+21450000</f>
        <v>2161540327</v>
      </c>
      <c r="G59" s="111">
        <f t="shared" si="38"/>
        <v>48.104998473232804</v>
      </c>
      <c r="H59" s="111">
        <f t="shared" si="39"/>
        <v>48.104998473232804</v>
      </c>
      <c r="I59" s="108">
        <f t="shared" si="40"/>
        <v>-47.623948488500474</v>
      </c>
      <c r="J59" s="122">
        <f t="shared" si="41"/>
        <v>2331839562</v>
      </c>
      <c r="K59" s="123">
        <f t="shared" si="9"/>
        <v>51.895001526767196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2">F60</f>
        <v>0</v>
      </c>
      <c r="H60" s="109">
        <f t="shared" si="42"/>
        <v>0</v>
      </c>
      <c r="I60" s="109">
        <f t="shared" si="42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3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9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3"/>
        <v>0</v>
      </c>
      <c r="E62" s="108">
        <f t="shared" ref="E62:E63" si="44">F62/C62*100%</f>
        <v>0</v>
      </c>
      <c r="F62" s="107">
        <v>0</v>
      </c>
      <c r="G62" s="111">
        <f t="shared" ref="G62:G63" si="45">H62</f>
        <v>0</v>
      </c>
      <c r="H62" s="111">
        <f t="shared" ref="H62:H63" si="46">F62/C62*100</f>
        <v>0</v>
      </c>
      <c r="I62" s="108">
        <f t="shared" ref="I62:I63" si="47">E62-H62</f>
        <v>0</v>
      </c>
      <c r="J62" s="89">
        <f t="shared" si="3"/>
        <v>15600000</v>
      </c>
      <c r="K62" s="12">
        <f t="shared" si="9"/>
        <v>100</v>
      </c>
      <c r="L62" s="9"/>
    </row>
    <row r="63" spans="1:14" ht="19.149999999999999" customHeight="1">
      <c r="A63" s="18"/>
      <c r="B63" s="34" t="s">
        <v>70</v>
      </c>
      <c r="C63" s="120">
        <v>24109818</v>
      </c>
      <c r="D63" s="14">
        <f t="shared" si="43"/>
        <v>0</v>
      </c>
      <c r="E63" s="108">
        <f t="shared" si="44"/>
        <v>0</v>
      </c>
      <c r="F63" s="107">
        <v>0</v>
      </c>
      <c r="G63" s="111">
        <f t="shared" si="45"/>
        <v>0</v>
      </c>
      <c r="H63" s="111">
        <f t="shared" si="46"/>
        <v>0</v>
      </c>
      <c r="I63" s="108">
        <f t="shared" si="47"/>
        <v>0</v>
      </c>
      <c r="J63" s="89">
        <f t="shared" si="3"/>
        <v>24109818</v>
      </c>
      <c r="K63" s="12">
        <f t="shared" si="9"/>
        <v>100</v>
      </c>
      <c r="L63" s="202"/>
    </row>
    <row r="64" spans="1:14" ht="19.149999999999999" customHeight="1">
      <c r="A64" s="190" t="s">
        <v>82</v>
      </c>
      <c r="B64" s="76" t="s">
        <v>137</v>
      </c>
      <c r="C64" s="196">
        <f>C65</f>
        <v>1400000000</v>
      </c>
      <c r="D64" s="191">
        <f>D65</f>
        <v>0.47359512142857141</v>
      </c>
      <c r="E64" s="191">
        <f t="shared" ref="E64:K64" si="48">E65</f>
        <v>0.47359512142857141</v>
      </c>
      <c r="F64" s="191">
        <f t="shared" si="48"/>
        <v>663033170</v>
      </c>
      <c r="G64" s="191">
        <f t="shared" si="48"/>
        <v>47.359512142857142</v>
      </c>
      <c r="H64" s="191">
        <f t="shared" si="48"/>
        <v>47.359512142857142</v>
      </c>
      <c r="I64" s="191">
        <f t="shared" si="48"/>
        <v>47.359512142857142</v>
      </c>
      <c r="J64" s="191">
        <f t="shared" si="48"/>
        <v>736966830</v>
      </c>
      <c r="K64" s="191">
        <f t="shared" si="48"/>
        <v>52.640487857142858</v>
      </c>
      <c r="L64" s="191"/>
    </row>
    <row r="65" spans="1:12" ht="19.149999999999999" customHeight="1">
      <c r="A65" s="192" t="s">
        <v>93</v>
      </c>
      <c r="B65" s="29" t="s">
        <v>142</v>
      </c>
      <c r="C65" s="195">
        <f>C66+C67</f>
        <v>1400000000</v>
      </c>
      <c r="D65" s="38">
        <f>E65</f>
        <v>0.47359512142857141</v>
      </c>
      <c r="E65" s="109">
        <f>F65/C65*100%</f>
        <v>0.47359512142857141</v>
      </c>
      <c r="F65" s="109">
        <f>F66+F67</f>
        <v>663033170</v>
      </c>
      <c r="G65" s="197">
        <f>H65</f>
        <v>47.359512142857142</v>
      </c>
      <c r="H65" s="109">
        <f>F65/C65*100</f>
        <v>47.359512142857142</v>
      </c>
      <c r="I65" s="109">
        <f>H65</f>
        <v>47.359512142857142</v>
      </c>
      <c r="J65" s="52">
        <f t="shared" ref="J65:J67" si="49">C65-F65</f>
        <v>736966830</v>
      </c>
      <c r="K65" s="51">
        <f t="shared" ref="K65:K67" si="50">J65/C65*100</f>
        <v>52.640487857142858</v>
      </c>
      <c r="L65" s="73"/>
    </row>
    <row r="66" spans="1:12" ht="36" customHeight="1">
      <c r="A66" s="189"/>
      <c r="B66" s="194" t="s">
        <v>143</v>
      </c>
      <c r="C66" s="188">
        <v>1040800750</v>
      </c>
      <c r="D66" s="14">
        <f t="shared" ref="D66:D67" si="51">E66</f>
        <v>0.52852687702233114</v>
      </c>
      <c r="E66" s="108">
        <f>F66/C66*100%</f>
        <v>0.52852687702233114</v>
      </c>
      <c r="F66" s="107">
        <f>13051100+14945000+44465000+11030000+25921860+13450000+21694530+20360000+15765000+120607500+13459220+15200000+1500000+18850000+6173280+4995000+4193280+6300000+23964400+17740000+22952280+9107500+9257500+2025000+24157720+16365000+21676000+4200000+16050000+10635000</f>
        <v>550091170</v>
      </c>
      <c r="G66" s="111">
        <f>H66</f>
        <v>52.852687702233112</v>
      </c>
      <c r="H66" s="111">
        <f>F66/C66*100</f>
        <v>52.852687702233112</v>
      </c>
      <c r="I66" s="108">
        <f>E66-H66</f>
        <v>-52.324160825210782</v>
      </c>
      <c r="J66" s="89">
        <f t="shared" si="49"/>
        <v>490709580</v>
      </c>
      <c r="K66" s="12">
        <f t="shared" si="50"/>
        <v>47.147312297766888</v>
      </c>
      <c r="L66" s="16"/>
    </row>
    <row r="67" spans="1:12" ht="19.149999999999999" customHeight="1">
      <c r="A67" s="189"/>
      <c r="B67" s="193" t="s">
        <v>144</v>
      </c>
      <c r="C67" s="188">
        <v>359199250</v>
      </c>
      <c r="D67" s="14">
        <f t="shared" si="51"/>
        <v>0.31442715985626363</v>
      </c>
      <c r="E67" s="108">
        <f t="shared" ref="E67" si="52">F67/C67*100%</f>
        <v>0.31442715985626363</v>
      </c>
      <c r="F67" s="107">
        <f>5420000+4462500+8045000+7118000+22365000+6710000+11151500+8220000+10150000+7415000+4800000+3420000+2920000+2250000+4750000+2475000+1270000</f>
        <v>112942000</v>
      </c>
      <c r="G67" s="111">
        <f t="shared" ref="G67" si="53">H67</f>
        <v>31.442715985626364</v>
      </c>
      <c r="H67" s="111">
        <f t="shared" ref="H67" si="54">F67/C67*100</f>
        <v>31.442715985626364</v>
      </c>
      <c r="I67" s="108">
        <f t="shared" ref="I67" si="55">E67-H67</f>
        <v>-31.128288825770099</v>
      </c>
      <c r="J67" s="89">
        <f t="shared" si="49"/>
        <v>246257250</v>
      </c>
      <c r="K67" s="12">
        <f t="shared" si="50"/>
        <v>68.557284014373636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0.15254847304502861</v>
      </c>
      <c r="E68" s="79">
        <f>F68/C68*100%</f>
        <v>0.15254847304502861</v>
      </c>
      <c r="F68" s="80">
        <f>F69</f>
        <v>45860800</v>
      </c>
      <c r="G68" s="80">
        <f t="shared" ref="G68:I68" si="56">G69</f>
        <v>15.25484730450286</v>
      </c>
      <c r="H68" s="80">
        <f t="shared" si="56"/>
        <v>15.25484730450286</v>
      </c>
      <c r="I68" s="80">
        <f t="shared" si="56"/>
        <v>-64.24435744263576</v>
      </c>
      <c r="J68" s="59">
        <f t="shared" si="3"/>
        <v>254770200</v>
      </c>
      <c r="K68" s="58">
        <f t="shared" si="9"/>
        <v>84.74515269549714</v>
      </c>
      <c r="L68" s="82"/>
    </row>
    <row r="69" spans="1:12" ht="37.15" customHeight="1">
      <c r="A69" s="70" t="s">
        <v>139</v>
      </c>
      <c r="B69" s="205" t="s">
        <v>71</v>
      </c>
      <c r="C69" s="84">
        <f>SUM(C70:C72)</f>
        <v>300631000</v>
      </c>
      <c r="D69" s="114">
        <f>E69</f>
        <v>0.15254847304502861</v>
      </c>
      <c r="E69" s="114">
        <f>F69/C69*100%</f>
        <v>0.15254847304502861</v>
      </c>
      <c r="F69" s="114">
        <f>SUM(F70:F72)</f>
        <v>45860800</v>
      </c>
      <c r="G69" s="114">
        <f>H69</f>
        <v>15.25484730450286</v>
      </c>
      <c r="H69" s="114">
        <f>F69/C69*100</f>
        <v>15.25484730450286</v>
      </c>
      <c r="I69" s="114">
        <f t="shared" ref="I69" si="57">SUM(I70:I72)</f>
        <v>-64.24435744263576</v>
      </c>
      <c r="J69" s="52">
        <f t="shared" si="3"/>
        <v>254770200</v>
      </c>
      <c r="K69" s="51">
        <f t="shared" si="9"/>
        <v>84.74515269549714</v>
      </c>
      <c r="L69" s="83"/>
    </row>
    <row r="70" spans="1:12" ht="76.150000000000006" customHeight="1">
      <c r="A70" s="43"/>
      <c r="B70" s="64" t="s">
        <v>52</v>
      </c>
      <c r="C70" s="26">
        <v>99126000</v>
      </c>
      <c r="D70" s="14">
        <f t="shared" ref="D70:D72" si="58">E70</f>
        <v>0</v>
      </c>
      <c r="E70" s="108">
        <f>F70/C70*100%</f>
        <v>0</v>
      </c>
      <c r="F70" s="115">
        <v>0</v>
      </c>
      <c r="G70" s="116">
        <f>H70</f>
        <v>0</v>
      </c>
      <c r="H70" s="116">
        <f>F70/C70*100</f>
        <v>0</v>
      </c>
      <c r="I70" s="108">
        <f>E70-H70</f>
        <v>0</v>
      </c>
      <c r="J70" s="89">
        <f t="shared" si="3"/>
        <v>99126000</v>
      </c>
      <c r="K70" s="12">
        <f t="shared" si="9"/>
        <v>100</v>
      </c>
      <c r="L70" s="19"/>
    </row>
    <row r="71" spans="1:12" ht="48" customHeight="1">
      <c r="A71" s="41"/>
      <c r="B71" s="64" t="s">
        <v>53</v>
      </c>
      <c r="C71" s="26">
        <v>163575000</v>
      </c>
      <c r="D71" s="14">
        <f t="shared" si="58"/>
        <v>0.16910163533547304</v>
      </c>
      <c r="E71" s="108">
        <f t="shared" ref="E71:E72" si="59">F71/C71*100%</f>
        <v>0.16910163533547304</v>
      </c>
      <c r="F71" s="115">
        <f>24460800+3200000</f>
        <v>27660800</v>
      </c>
      <c r="G71" s="116">
        <f t="shared" ref="G71:G72" si="60">H71</f>
        <v>16.910163533547305</v>
      </c>
      <c r="H71" s="116">
        <f t="shared" ref="H71:H72" si="61">F71/C71*100</f>
        <v>16.910163533547305</v>
      </c>
      <c r="I71" s="108">
        <f t="shared" ref="I71:I72" si="62">E71-H71</f>
        <v>-16.741061898211832</v>
      </c>
      <c r="J71" s="89">
        <f t="shared" si="3"/>
        <v>135914200</v>
      </c>
      <c r="K71" s="12">
        <f t="shared" si="9"/>
        <v>83.089836466452695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58"/>
        <v>0.47983126812549431</v>
      </c>
      <c r="E72" s="108">
        <f t="shared" si="59"/>
        <v>0.47983126812549431</v>
      </c>
      <c r="F72" s="115">
        <f>9100000+9100000</f>
        <v>18200000</v>
      </c>
      <c r="G72" s="116">
        <f t="shared" si="60"/>
        <v>47.983126812549429</v>
      </c>
      <c r="H72" s="116">
        <f t="shared" si="61"/>
        <v>47.983126812549429</v>
      </c>
      <c r="I72" s="108">
        <f t="shared" si="62"/>
        <v>-47.503295544423935</v>
      </c>
      <c r="J72" s="125">
        <f t="shared" si="3"/>
        <v>19730000</v>
      </c>
      <c r="K72" s="7">
        <f t="shared" si="9"/>
        <v>52.016873187450564</v>
      </c>
      <c r="L72" s="19"/>
    </row>
    <row r="73" spans="1:12">
      <c r="G73" s="117"/>
      <c r="H73" s="117"/>
    </row>
    <row r="74" spans="1:12">
      <c r="G74" s="117"/>
      <c r="H74" s="117"/>
      <c r="I74" s="232" t="s">
        <v>150</v>
      </c>
      <c r="J74" s="232"/>
      <c r="K74" s="232"/>
    </row>
    <row r="75" spans="1:12">
      <c r="G75" s="117"/>
      <c r="H75" s="117"/>
    </row>
    <row r="76" spans="1:12">
      <c r="G76" s="117"/>
      <c r="H76" s="117"/>
      <c r="I76" s="232" t="s">
        <v>145</v>
      </c>
      <c r="J76" s="232"/>
      <c r="K76" s="232"/>
    </row>
    <row r="77" spans="1:12">
      <c r="G77" s="117"/>
      <c r="H77" s="117"/>
      <c r="I77" s="232" t="s">
        <v>146</v>
      </c>
      <c r="J77" s="232"/>
      <c r="K77" s="232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  <c r="I81" s="231" t="s">
        <v>147</v>
      </c>
      <c r="J81" s="231"/>
      <c r="K81" s="231"/>
    </row>
    <row r="82" spans="1:14">
      <c r="G82" s="117"/>
      <c r="H82" s="117"/>
      <c r="I82" s="232" t="s">
        <v>148</v>
      </c>
      <c r="J82" s="232"/>
      <c r="K82" s="232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8"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  <mergeCell ref="I81:K81"/>
    <mergeCell ref="I82:K82"/>
    <mergeCell ref="D8:E8"/>
    <mergeCell ref="F8:H8"/>
    <mergeCell ref="A12:B12"/>
    <mergeCell ref="I74:K74"/>
    <mergeCell ref="I76:K76"/>
    <mergeCell ref="I77:K77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300" r:id="rId1"/>
  <rowBreaks count="1" manualBreakCount="1">
    <brk id="39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zoomScale="80" zoomScaleSheetLayoutView="80" workbookViewId="0">
      <selection activeCell="F19" sqref="F19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2" max="12" width="15.5703125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141</v>
      </c>
      <c r="N5" s="44"/>
    </row>
    <row r="6" spans="1:14">
      <c r="A6" s="4"/>
      <c r="C6" s="22"/>
      <c r="J6" s="3" t="s">
        <v>3</v>
      </c>
      <c r="K6" s="3" t="s">
        <v>151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201" t="s">
        <v>8</v>
      </c>
      <c r="C10" s="129">
        <f>C11</f>
        <v>21589005295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201" t="s">
        <v>9</v>
      </c>
      <c r="C11" s="129">
        <f>C12</f>
        <v>21589005295</v>
      </c>
      <c r="D11" s="94">
        <f t="shared" ref="D11:I11" si="0">D12</f>
        <v>0.46969211797583194</v>
      </c>
      <c r="E11" s="94">
        <f t="shared" si="0"/>
        <v>0.46969211797583194</v>
      </c>
      <c r="F11" s="94">
        <f t="shared" si="0"/>
        <v>10140185622</v>
      </c>
      <c r="G11" s="94">
        <f t="shared" si="0"/>
        <v>46.969211797583192</v>
      </c>
      <c r="H11" s="94">
        <f t="shared" si="0"/>
        <v>46.969211797583192</v>
      </c>
      <c r="I11" s="94">
        <f t="shared" si="0"/>
        <v>46.49951967960736</v>
      </c>
      <c r="J11" s="6">
        <f>C11-F11</f>
        <v>11448819673</v>
      </c>
      <c r="K11" s="6">
        <f>J11/C11*100</f>
        <v>53.030788202416815</v>
      </c>
      <c r="L11" s="9"/>
      <c r="N11" s="1"/>
    </row>
    <row r="12" spans="1:14" ht="36" customHeight="1">
      <c r="A12" s="236" t="s">
        <v>66</v>
      </c>
      <c r="B12" s="237"/>
      <c r="C12" s="127">
        <f>C13+C49+C55+C64+C68</f>
        <v>21589005295</v>
      </c>
      <c r="D12" s="126">
        <f>E12</f>
        <v>0.46969211797583194</v>
      </c>
      <c r="E12" s="126">
        <f>F12/C12*100%</f>
        <v>0.46969211797583194</v>
      </c>
      <c r="F12" s="126">
        <f>F13+F68+F49+F55+F64</f>
        <v>10140185622</v>
      </c>
      <c r="G12" s="126">
        <f>H12</f>
        <v>46.969211797583192</v>
      </c>
      <c r="H12" s="126">
        <f>F12/C12*100</f>
        <v>46.969211797583192</v>
      </c>
      <c r="I12" s="126">
        <f>H12-E12</f>
        <v>46.49951967960736</v>
      </c>
      <c r="J12" s="126">
        <f>J13+J68+J49+J55+J64</f>
        <v>11448819673</v>
      </c>
      <c r="K12" s="146">
        <f>J12/C12*100</f>
        <v>53.030788202416815</v>
      </c>
      <c r="L12" s="203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0.4903886510626515</v>
      </c>
      <c r="E13" s="57">
        <f>F13/C13*100%</f>
        <v>0.4903886510626515</v>
      </c>
      <c r="F13" s="57">
        <f t="shared" si="1"/>
        <v>6779603378</v>
      </c>
      <c r="G13" s="57">
        <f>H13</f>
        <v>49.038865106265149</v>
      </c>
      <c r="H13" s="57">
        <f>F13/C13*100</f>
        <v>49.038865106265149</v>
      </c>
      <c r="I13" s="57">
        <f>H13-E13</f>
        <v>48.548476455202497</v>
      </c>
      <c r="J13" s="59">
        <f>C13-F13</f>
        <v>7045356403</v>
      </c>
      <c r="K13" s="58">
        <f>J13/C13*100</f>
        <v>50.961134893734851</v>
      </c>
      <c r="L13" s="58"/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F14" si="2">SUM(C15:C20)</f>
        <v>140773000</v>
      </c>
      <c r="D14" s="38">
        <f>E14</f>
        <v>0.26123617455051751</v>
      </c>
      <c r="E14" s="38">
        <f>F14/C14*100%</f>
        <v>0.26123617455051751</v>
      </c>
      <c r="F14" s="36">
        <f t="shared" si="2"/>
        <v>36775000</v>
      </c>
      <c r="G14" s="90">
        <f>H14</f>
        <v>26.12361745505175</v>
      </c>
      <c r="H14" s="90">
        <f>F14/C14*100</f>
        <v>26.12361745505175</v>
      </c>
      <c r="I14" s="99">
        <f>H14-E14</f>
        <v>25.862381280501232</v>
      </c>
      <c r="J14" s="52">
        <f>C14-F14</f>
        <v>103998000</v>
      </c>
      <c r="K14" s="51">
        <f>J14/C14*100</f>
        <v>73.876382544948243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0.41064817228972206</v>
      </c>
      <c r="E15" s="11">
        <f>F15/C15*100%</f>
        <v>0.41064817228972206</v>
      </c>
      <c r="F15" s="100">
        <f>4500000+4500000+4500000+4500000+4500000+4500000+4500000</f>
        <v>31500000</v>
      </c>
      <c r="G15" s="101">
        <f>H15</f>
        <v>41.064817228972203</v>
      </c>
      <c r="H15" s="101">
        <f>F15/C15*100</f>
        <v>41.064817228972203</v>
      </c>
      <c r="I15" s="102">
        <f>H15-E15</f>
        <v>40.654169056682484</v>
      </c>
      <c r="J15" s="89">
        <f t="shared" ref="J15:J72" si="3">C15-F15</f>
        <v>45208000</v>
      </c>
      <c r="K15" s="12">
        <f>J15/C15*100</f>
        <v>58.935182771027797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F16/C16*100%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72" si="9">J16/C16*100</f>
        <v>100</v>
      </c>
      <c r="L16" s="202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202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0.71768707482993199</v>
      </c>
      <c r="E18" s="11">
        <f t="shared" si="5"/>
        <v>0.71768707482993199</v>
      </c>
      <c r="F18" s="100">
        <v>5275000</v>
      </c>
      <c r="G18" s="101">
        <f t="shared" si="6"/>
        <v>71.768707482993193</v>
      </c>
      <c r="H18" s="101">
        <f t="shared" si="7"/>
        <v>71.768707482993193</v>
      </c>
      <c r="I18" s="102">
        <f t="shared" si="8"/>
        <v>71.051020408163268</v>
      </c>
      <c r="J18" s="89">
        <f t="shared" si="3"/>
        <v>2075000</v>
      </c>
      <c r="K18" s="12">
        <f t="shared" si="9"/>
        <v>28.2312925170068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202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202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0.86820165101007185</v>
      </c>
      <c r="E21" s="38">
        <f>SUM(E22:E24)</f>
        <v>0.86820165101007185</v>
      </c>
      <c r="F21" s="36">
        <f>SUM(F22:F24)</f>
        <v>5403144100</v>
      </c>
      <c r="G21" s="90">
        <f t="shared" si="6"/>
        <v>51.063202105891378</v>
      </c>
      <c r="H21" s="90">
        <f>F21/C21*100</f>
        <v>51.063202105891378</v>
      </c>
      <c r="I21" s="99">
        <f>E21-H21</f>
        <v>-50.195000454881303</v>
      </c>
      <c r="J21" s="52">
        <f t="shared" si="3"/>
        <v>5178143162</v>
      </c>
      <c r="K21" s="51">
        <f t="shared" si="9"/>
        <v>48.936797894108622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0.51183801464643552</v>
      </c>
      <c r="E22" s="85">
        <f>F22/C22*100%</f>
        <v>0.51183801464643552</v>
      </c>
      <c r="F22" s="103">
        <f>586844600+275805000+987621900+615632300+876761900+5170800+589503100+343100000+520316000+343100000+247038500</f>
        <v>5390894100</v>
      </c>
      <c r="G22" s="104">
        <f>H22</f>
        <v>51.183801464643551</v>
      </c>
      <c r="H22" s="104">
        <f>F22/C22*100</f>
        <v>51.183801464643551</v>
      </c>
      <c r="I22" s="105">
        <f>E22-H22</f>
        <v>-50.671963449997115</v>
      </c>
      <c r="J22" s="89">
        <f t="shared" si="3"/>
        <v>5141528162</v>
      </c>
      <c r="K22" s="12">
        <f t="shared" si="9"/>
        <v>48.816198535356442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202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0.35636363636363638</v>
      </c>
      <c r="E24" s="85">
        <f t="shared" si="11"/>
        <v>0.35636363636363638</v>
      </c>
      <c r="F24" s="103">
        <f>1750000+1750000+1750000+1750000+1750000+1750000+1750000</f>
        <v>12250000</v>
      </c>
      <c r="G24" s="104">
        <f t="shared" si="12"/>
        <v>35.63636363636364</v>
      </c>
      <c r="H24" s="104">
        <f t="shared" si="13"/>
        <v>35.63636363636364</v>
      </c>
      <c r="I24" s="105">
        <f t="shared" si="14"/>
        <v>-35.28</v>
      </c>
      <c r="J24" s="89">
        <f t="shared" si="3"/>
        <v>22125000</v>
      </c>
      <c r="K24" s="12">
        <f t="shared" si="9"/>
        <v>64.363636363636374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0.46625222024866786</v>
      </c>
      <c r="E25" s="38">
        <f>E26</f>
        <v>0.46625222024866786</v>
      </c>
      <c r="F25" s="36">
        <f>F26</f>
        <v>10500000</v>
      </c>
      <c r="G25" s="90">
        <f>H25</f>
        <v>46.625222024866787</v>
      </c>
      <c r="H25" s="90">
        <f>F25/C25*100</f>
        <v>46.625222024866787</v>
      </c>
      <c r="I25" s="99">
        <f>E25-H25</f>
        <v>-46.158969804618117</v>
      </c>
      <c r="J25" s="52">
        <f t="shared" si="3"/>
        <v>12020000</v>
      </c>
      <c r="K25" s="51">
        <f t="shared" si="9"/>
        <v>53.374777975133213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98">
        <f>E26</f>
        <v>0.46625222024866786</v>
      </c>
      <c r="E26" s="198">
        <f>F26/C26*100%</f>
        <v>0.46625222024866786</v>
      </c>
      <c r="F26" s="134">
        <f>1500000+1500000+1500000+1500000+1500000+1500000+1500000</f>
        <v>10500000</v>
      </c>
      <c r="G26" s="101">
        <f>H26</f>
        <v>46.625222024866787</v>
      </c>
      <c r="H26" s="101">
        <f>F26/C26*100</f>
        <v>46.625222024866787</v>
      </c>
      <c r="I26" s="102">
        <f>E26-H26</f>
        <v>-46.158969804618117</v>
      </c>
      <c r="J26" s="89">
        <f t="shared" si="3"/>
        <v>12020000</v>
      </c>
      <c r="K26" s="12">
        <f t="shared" si="9"/>
        <v>53.374777975133213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E27</f>
        <v>0.49472618707313937</v>
      </c>
      <c r="E27" s="38">
        <f>F27/C27*100%</f>
        <v>0.49472618707313937</v>
      </c>
      <c r="F27" s="36">
        <f>SUM(F28:F35)</f>
        <v>413290193</v>
      </c>
      <c r="G27" s="90">
        <f t="shared" ref="G27:G35" si="15">H27</f>
        <v>49.472618707313934</v>
      </c>
      <c r="H27" s="90">
        <f>F27/C27*100</f>
        <v>49.472618707313934</v>
      </c>
      <c r="I27" s="99">
        <f>E27-H27</f>
        <v>-48.977892520240793</v>
      </c>
      <c r="J27" s="52">
        <f t="shared" si="3"/>
        <v>422101593</v>
      </c>
      <c r="K27" s="51">
        <f t="shared" si="9"/>
        <v>50.527381292686066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0.41689370268559856</v>
      </c>
      <c r="E28" s="14">
        <f>F28/C28*100%</f>
        <v>0.41689370268559856</v>
      </c>
      <c r="F28" s="106">
        <f>1069000+1205800+1785479+739000+271391+2626970+820000+1869081+805000+1842800+935200+1600000+1309500</f>
        <v>16879221</v>
      </c>
      <c r="G28" s="101">
        <f t="shared" si="15"/>
        <v>41.689370268559856</v>
      </c>
      <c r="H28" s="101">
        <f t="shared" ref="H28:H35" si="16">F28/C28*100</f>
        <v>41.689370268559856</v>
      </c>
      <c r="I28" s="102">
        <f>E28-H28</f>
        <v>-41.272476565874257</v>
      </c>
      <c r="J28" s="89">
        <f t="shared" si="3"/>
        <v>23608848</v>
      </c>
      <c r="K28" s="12">
        <f t="shared" si="9"/>
        <v>58.310629731440144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0.91300806930389689</v>
      </c>
      <c r="E29" s="14">
        <f t="shared" ref="E29:E35" si="18">F29/C29*100%</f>
        <v>0.91300806930389689</v>
      </c>
      <c r="F29" s="106">
        <f>48249723+4577000+5601100+4619985+2222000+870288+2844992+7535999+2390000+7589822+2380000+4229300+2645000+3055600+5742325+6109000+6077149+1205400+332000+1670027+9898650+19240448</f>
        <v>149085808</v>
      </c>
      <c r="G29" s="101">
        <f t="shared" si="15"/>
        <v>91.300806930389683</v>
      </c>
      <c r="H29" s="101">
        <f t="shared" si="16"/>
        <v>91.300806930389683</v>
      </c>
      <c r="I29" s="102">
        <f t="shared" ref="I29:I35" si="19">E29-H29</f>
        <v>-90.387798861085784</v>
      </c>
      <c r="J29" s="89">
        <f t="shared" si="3"/>
        <v>14204981</v>
      </c>
      <c r="K29" s="12">
        <f t="shared" si="9"/>
        <v>8.6991930696103132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0.44989729392603472</v>
      </c>
      <c r="E30" s="14">
        <f t="shared" si="18"/>
        <v>0.44989729392603472</v>
      </c>
      <c r="F30" s="106">
        <f>3112000+3567351+707283+2239604+918922+2738000+2796490+2082000+1092000+4000000+2206485+2173500+1963700+7973000</f>
        <v>37570335</v>
      </c>
      <c r="G30" s="101">
        <f t="shared" si="15"/>
        <v>44.989729392603472</v>
      </c>
      <c r="H30" s="101">
        <f t="shared" si="16"/>
        <v>44.989729392603472</v>
      </c>
      <c r="I30" s="102">
        <f t="shared" si="19"/>
        <v>-44.539832098677437</v>
      </c>
      <c r="J30" s="89">
        <f t="shared" si="3"/>
        <v>45938358</v>
      </c>
      <c r="K30" s="12">
        <f t="shared" si="9"/>
        <v>55.010270607396528</v>
      </c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0.46710810061114738</v>
      </c>
      <c r="E31" s="14">
        <f t="shared" si="18"/>
        <v>0.46710810061114738</v>
      </c>
      <c r="F31" s="106">
        <f>7680000+2560000+3200000+1600000+1200000+1500000+1900000+2496000+1200000+11200000+570000+2500000+2500000+2496600+3840000+5760000</f>
        <v>52202600</v>
      </c>
      <c r="G31" s="101">
        <f t="shared" si="15"/>
        <v>46.710810061114735</v>
      </c>
      <c r="H31" s="101">
        <f t="shared" si="16"/>
        <v>46.710810061114735</v>
      </c>
      <c r="I31" s="102">
        <f t="shared" si="19"/>
        <v>-46.243701960503586</v>
      </c>
      <c r="J31" s="89">
        <f t="shared" si="3"/>
        <v>59554400</v>
      </c>
      <c r="K31" s="12">
        <f t="shared" si="9"/>
        <v>53.289189938885265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0.39576832624490266</v>
      </c>
      <c r="E32" s="14">
        <f t="shared" si="18"/>
        <v>0.39576832624490266</v>
      </c>
      <c r="F32" s="106">
        <f>2135000+1500000+3429552+2344658+3160791+1100000+4966880+1100000+2005050+6997240+900000+4500000+2005250</f>
        <v>36144421</v>
      </c>
      <c r="G32" s="101">
        <f t="shared" si="15"/>
        <v>39.576832624490265</v>
      </c>
      <c r="H32" s="101">
        <f t="shared" si="16"/>
        <v>39.576832624490265</v>
      </c>
      <c r="I32" s="102">
        <f t="shared" si="19"/>
        <v>-39.18106429824536</v>
      </c>
      <c r="J32" s="89">
        <f t="shared" si="3"/>
        <v>55182799</v>
      </c>
      <c r="K32" s="12">
        <f t="shared" si="9"/>
        <v>60.423167375509735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0.37971548744239336</v>
      </c>
      <c r="E33" s="14">
        <f t="shared" si="18"/>
        <v>0.37971548744239336</v>
      </c>
      <c r="F33" s="106">
        <f>750000+4453000+927150+834435+1200000+661367+244000+915000+300000+1743042+2000000+271964+7417875</f>
        <v>21717833</v>
      </c>
      <c r="G33" s="101">
        <f t="shared" si="15"/>
        <v>37.971548744239335</v>
      </c>
      <c r="H33" s="101">
        <f t="shared" si="16"/>
        <v>37.971548744239335</v>
      </c>
      <c r="I33" s="102">
        <f t="shared" si="19"/>
        <v>-37.591833256796939</v>
      </c>
      <c r="J33" s="89">
        <f t="shared" si="3"/>
        <v>35477182</v>
      </c>
      <c r="K33" s="12">
        <f t="shared" si="9"/>
        <v>62.028451255760665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0.70283194057567322</v>
      </c>
      <c r="E34" s="14">
        <f t="shared" si="18"/>
        <v>0.70283194057567322</v>
      </c>
      <c r="F34" s="106">
        <f>7500000+5000000+5000000+5000000+1125000+2500000+2500000+1000000+2500000+25000000+5000000+570000+3000000+2500000+2500000+2500000+2500000</f>
        <v>75695000</v>
      </c>
      <c r="G34" s="101">
        <f t="shared" si="15"/>
        <v>70.283194057567329</v>
      </c>
      <c r="H34" s="101">
        <f t="shared" si="16"/>
        <v>70.283194057567329</v>
      </c>
      <c r="I34" s="102">
        <f t="shared" si="19"/>
        <v>-69.580362116991651</v>
      </c>
      <c r="J34" s="89">
        <f t="shared" si="3"/>
        <v>32005000</v>
      </c>
      <c r="K34" s="12">
        <f t="shared" si="9"/>
        <v>29.716805942432682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0.13321290770298405</v>
      </c>
      <c r="E35" s="14">
        <f t="shared" si="18"/>
        <v>0.13321290770298405</v>
      </c>
      <c r="F35" s="106">
        <f>1800000+1000000+2770000+600000+2000000+2000000+1900000+3750000+1000000+1500000+550000+600000+3024975+1500000</f>
        <v>23994975</v>
      </c>
      <c r="G35" s="101">
        <f t="shared" si="15"/>
        <v>13.321290770298406</v>
      </c>
      <c r="H35" s="101">
        <f t="shared" si="16"/>
        <v>13.321290770298406</v>
      </c>
      <c r="I35" s="102">
        <f t="shared" si="19"/>
        <v>-13.188077862595422</v>
      </c>
      <c r="J35" s="89">
        <f t="shared" si="3"/>
        <v>156130025</v>
      </c>
      <c r="K35" s="12">
        <f t="shared" si="9"/>
        <v>86.678709229701596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>E36</f>
        <v>0.10365186471888722</v>
      </c>
      <c r="E36" s="38">
        <f>F36/C36*100%</f>
        <v>0.10365186471888722</v>
      </c>
      <c r="F36" s="36">
        <f>SUM(F37:F38)</f>
        <v>14000000</v>
      </c>
      <c r="G36" s="36">
        <f>H36</f>
        <v>10.365186471888723</v>
      </c>
      <c r="H36" s="36">
        <f>F36/C36*100</f>
        <v>10.365186471888723</v>
      </c>
      <c r="I36" s="36">
        <f t="shared" ref="I36" si="20">SUM(I38:I38)</f>
        <v>0</v>
      </c>
      <c r="J36" s="52">
        <f t="shared" si="3"/>
        <v>121067517</v>
      </c>
      <c r="K36" s="51">
        <f t="shared" si="9"/>
        <v>89.63481352811128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0.1728395061728395</v>
      </c>
      <c r="E37" s="133">
        <f>F37/C37*100%</f>
        <v>0.1728395061728395</v>
      </c>
      <c r="F37" s="134">
        <f>4000000+10000000</f>
        <v>14000000</v>
      </c>
      <c r="G37" s="134">
        <f>H37</f>
        <v>17.283950617283949</v>
      </c>
      <c r="H37" s="134">
        <f>F37/C37*100</f>
        <v>17.283950617283949</v>
      </c>
      <c r="I37" s="134">
        <f>E37-H37</f>
        <v>-17.111111111111111</v>
      </c>
      <c r="J37" s="122">
        <f>C37-F37</f>
        <v>67000000</v>
      </c>
      <c r="K37" s="123">
        <f>J37/C37*100</f>
        <v>82.716049382716051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1.0685883826735234</v>
      </c>
      <c r="E39" s="38">
        <f>SUM(E40:E42)</f>
        <v>1.0685883826735234</v>
      </c>
      <c r="F39" s="36">
        <f>SUM(F40:F42)</f>
        <v>682621085</v>
      </c>
      <c r="G39" s="90">
        <f t="shared" ref="G39:G42" si="21">H39</f>
        <v>42.539066257924688</v>
      </c>
      <c r="H39" s="90">
        <f>F39/C39*100</f>
        <v>42.539066257924688</v>
      </c>
      <c r="I39" s="99">
        <f>E39-H39</f>
        <v>-41.470477875251163</v>
      </c>
      <c r="J39" s="52">
        <f t="shared" si="3"/>
        <v>922071131</v>
      </c>
      <c r="K39" s="51">
        <f t="shared" si="9"/>
        <v>57.460933742075305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f>E40</f>
        <v>0.3536903883878742</v>
      </c>
      <c r="E40" s="14">
        <f>F40/C40*100%</f>
        <v>0.3536903883878742</v>
      </c>
      <c r="F40" s="106">
        <f>2000000+1782011+882698+750000+500000+300000+500000+300000+1250000+1250000+2400000+300000+1200000+500000</f>
        <v>13914709</v>
      </c>
      <c r="G40" s="104">
        <f t="shared" si="21"/>
        <v>35.369038838787418</v>
      </c>
      <c r="H40" s="104">
        <f t="shared" ref="H40:H42" si="22">F40/C40*100</f>
        <v>35.369038838787418</v>
      </c>
      <c r="I40" s="105">
        <f t="shared" ref="I40:I42" si="23">E40-H40</f>
        <v>-35.015348450399543</v>
      </c>
      <c r="J40" s="89">
        <f t="shared" si="3"/>
        <v>25426787</v>
      </c>
      <c r="K40" s="12">
        <f t="shared" si="9"/>
        <v>64.630961161212568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:D42" si="24">E41</f>
        <v>0.13886157429339807</v>
      </c>
      <c r="E41" s="14">
        <f t="shared" ref="E41:E42" si="25">F41/C41*100%</f>
        <v>0.13886157429339807</v>
      </c>
      <c r="F41" s="106">
        <f>6786602+3106436+2575000+1023850+2000000+632698+1200000+2047000+3000000+4008704+5000000+5000000+1500000+2700365+84869+5000000+5000000+2808718+3400000+3700000+1000000+2596347+448787+1950000+1637000+3300000+2500000</f>
        <v>74006376</v>
      </c>
      <c r="G41" s="104">
        <f t="shared" si="21"/>
        <v>13.886157429339807</v>
      </c>
      <c r="H41" s="104">
        <f t="shared" si="22"/>
        <v>13.886157429339807</v>
      </c>
      <c r="I41" s="105">
        <f t="shared" si="23"/>
        <v>-13.74729585504641</v>
      </c>
      <c r="J41" s="89">
        <f t="shared" si="3"/>
        <v>458944344</v>
      </c>
      <c r="K41" s="12">
        <f t="shared" si="9"/>
        <v>86.113842570660196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f t="shared" si="24"/>
        <v>0.57603641999225108</v>
      </c>
      <c r="E42" s="14">
        <f t="shared" si="25"/>
        <v>0.57603641999225108</v>
      </c>
      <c r="F42" s="106">
        <f>6200000+6200000+6200000+6200000+234000000+2710000+78000000+2790000+6200000+78000000+6000000+78000000+6200000+78000000</f>
        <v>594700000</v>
      </c>
      <c r="G42" s="104">
        <f t="shared" si="21"/>
        <v>57.603641999225111</v>
      </c>
      <c r="H42" s="104">
        <f t="shared" si="22"/>
        <v>57.603641999225111</v>
      </c>
      <c r="I42" s="105">
        <f t="shared" si="23"/>
        <v>-57.027605579232862</v>
      </c>
      <c r="J42" s="89">
        <f t="shared" si="3"/>
        <v>437700000</v>
      </c>
      <c r="K42" s="12">
        <f t="shared" si="9"/>
        <v>42.396358000774889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E43</f>
        <v>0.43400801222418395</v>
      </c>
      <c r="E43" s="39">
        <f>F43/C43*100%</f>
        <v>0.43400801222418395</v>
      </c>
      <c r="F43" s="37">
        <f>SUM(F44:F48)</f>
        <v>219273000</v>
      </c>
      <c r="G43" s="91">
        <f>H43</f>
        <v>43.400801222418394</v>
      </c>
      <c r="H43" s="91">
        <f>F43/C43*100</f>
        <v>43.400801222418394</v>
      </c>
      <c r="I43" s="91">
        <f>E43-H43</f>
        <v>-42.966793210194211</v>
      </c>
      <c r="J43" s="52">
        <f t="shared" si="3"/>
        <v>285955000</v>
      </c>
      <c r="K43" s="51">
        <f t="shared" si="9"/>
        <v>56.599198777581606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0.59007397379490401</v>
      </c>
      <c r="E44" s="14">
        <f>F44/C44*100%</f>
        <v>0.59007397379490401</v>
      </c>
      <c r="F44" s="107">
        <f>3920000+560000+5000000+4000000+1750000+1920000+2600000+2885000+520000+4100000+4375000+5000000+22070000+12960000+1150000+7300000+1100000+3200000+3320000+9050000+2110000+9720000+125000+2800000+1000000+2650000+5660000+1200000</f>
        <v>122045000</v>
      </c>
      <c r="G44" s="104">
        <f t="shared" ref="G44:G48" si="26">H44</f>
        <v>59.007397379490399</v>
      </c>
      <c r="H44" s="104">
        <f t="shared" ref="H44:H48" si="27">F44/C44*100</f>
        <v>59.007397379490399</v>
      </c>
      <c r="I44" s="118">
        <f t="shared" ref="I44:I47" si="28">E44-H44</f>
        <v>-58.417323405695498</v>
      </c>
      <c r="J44" s="89">
        <f t="shared" si="3"/>
        <v>84785000</v>
      </c>
      <c r="K44" s="12">
        <f t="shared" si="9"/>
        <v>40.992602620509601</v>
      </c>
      <c r="L44" s="16"/>
    </row>
    <row r="45" spans="1:14" ht="37.15" customHeight="1">
      <c r="A45" s="15"/>
      <c r="B45" s="199" t="s">
        <v>73</v>
      </c>
      <c r="C45" s="24">
        <v>9240000</v>
      </c>
      <c r="D45" s="14">
        <f t="shared" ref="D45:D48" si="29">E45</f>
        <v>0.16450216450216451</v>
      </c>
      <c r="E45" s="14">
        <f t="shared" ref="E45:E48" si="30">F45/C45*100%</f>
        <v>0.16450216450216451</v>
      </c>
      <c r="F45" s="107">
        <v>1520000</v>
      </c>
      <c r="G45" s="104">
        <f t="shared" si="26"/>
        <v>16.450216450216452</v>
      </c>
      <c r="H45" s="104">
        <f t="shared" si="27"/>
        <v>16.450216450216452</v>
      </c>
      <c r="I45" s="118">
        <f t="shared" si="28"/>
        <v>-16.285714285714288</v>
      </c>
      <c r="J45" s="89">
        <f t="shared" si="3"/>
        <v>7720000</v>
      </c>
      <c r="K45" s="12">
        <f t="shared" si="9"/>
        <v>83.549783549783555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0.44507018576111623</v>
      </c>
      <c r="E46" s="14">
        <f t="shared" si="30"/>
        <v>0.44507018576111623</v>
      </c>
      <c r="F46" s="107">
        <f>2640000+550000+6070000+1000000+1050000+4060000+730000+5830000+1540000+1460000+4130000+700000+4000000+3220000+4070000+3280000+1750000+6870000</f>
        <v>52950000</v>
      </c>
      <c r="G46" s="104">
        <f t="shared" si="26"/>
        <v>44.507018576111626</v>
      </c>
      <c r="H46" s="104">
        <f t="shared" si="27"/>
        <v>44.507018576111626</v>
      </c>
      <c r="I46" s="105">
        <f t="shared" si="28"/>
        <v>-44.061948390350508</v>
      </c>
      <c r="J46" s="89">
        <f t="shared" si="3"/>
        <v>66020000</v>
      </c>
      <c r="K46" s="12">
        <f t="shared" si="9"/>
        <v>55.492981423888374</v>
      </c>
      <c r="L46" s="16"/>
    </row>
    <row r="47" spans="1:14" ht="19.149999999999999" customHeight="1">
      <c r="A47" s="15"/>
      <c r="B47" s="200" t="s">
        <v>42</v>
      </c>
      <c r="C47" s="24">
        <v>80708000</v>
      </c>
      <c r="D47" s="14">
        <f t="shared" si="29"/>
        <v>0.28904197849036029</v>
      </c>
      <c r="E47" s="14">
        <f t="shared" si="30"/>
        <v>0.28904197849036029</v>
      </c>
      <c r="F47" s="107">
        <v>23328000</v>
      </c>
      <c r="G47" s="104">
        <f t="shared" si="26"/>
        <v>28.904197849036027</v>
      </c>
      <c r="H47" s="104">
        <f t="shared" si="27"/>
        <v>28.904197849036027</v>
      </c>
      <c r="I47" s="105">
        <f t="shared" si="28"/>
        <v>-28.615155870545667</v>
      </c>
      <c r="J47" s="89">
        <f t="shared" si="3"/>
        <v>57380000</v>
      </c>
      <c r="K47" s="12">
        <f t="shared" si="9"/>
        <v>71.095802150963976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0.21714349575324096</v>
      </c>
      <c r="E48" s="14">
        <f t="shared" si="30"/>
        <v>0.21714349575324096</v>
      </c>
      <c r="F48" s="107">
        <f>15390000+4040000</f>
        <v>19430000</v>
      </c>
      <c r="G48" s="104">
        <f t="shared" si="26"/>
        <v>21.714349575324096</v>
      </c>
      <c r="H48" s="104">
        <f t="shared" si="27"/>
        <v>21.714349575324096</v>
      </c>
      <c r="I48" s="105">
        <f>E48-H48</f>
        <v>-21.497206079570855</v>
      </c>
      <c r="J48" s="89">
        <f t="shared" si="3"/>
        <v>70050000</v>
      </c>
      <c r="K48" s="12">
        <f t="shared" si="9"/>
        <v>78.285650424675907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0.77272727272727271</v>
      </c>
      <c r="E49" s="67">
        <f>E50</f>
        <v>0.35247804582618353</v>
      </c>
      <c r="F49" s="67">
        <f>F50+F52</f>
        <v>119460000</v>
      </c>
      <c r="G49" s="67">
        <f t="shared" ref="G49:I49" si="31">G50</f>
        <v>35.24780458261835</v>
      </c>
      <c r="H49" s="67">
        <f t="shared" si="31"/>
        <v>35.24780458261835</v>
      </c>
      <c r="I49" s="67">
        <f t="shared" si="31"/>
        <v>-34.895326536792169</v>
      </c>
      <c r="J49" s="59">
        <f t="shared" si="3"/>
        <v>78552940</v>
      </c>
      <c r="K49" s="58">
        <f t="shared" si="9"/>
        <v>39.670609405627729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0.35247804582618353</v>
      </c>
      <c r="E50" s="109">
        <f>SUM(E51:E51)</f>
        <v>0.35247804582618353</v>
      </c>
      <c r="F50" s="110">
        <f>SUM(F51)</f>
        <v>17460000</v>
      </c>
      <c r="G50" s="110">
        <f t="shared" ref="G50:I50" si="32">SUM(G51)</f>
        <v>35.24780458261835</v>
      </c>
      <c r="H50" s="110">
        <f>F50/C50*100</f>
        <v>35.24780458261835</v>
      </c>
      <c r="I50" s="110">
        <f t="shared" si="32"/>
        <v>-34.895326536792169</v>
      </c>
      <c r="J50" s="52">
        <f t="shared" si="3"/>
        <v>32075000</v>
      </c>
      <c r="K50" s="51">
        <f t="shared" si="9"/>
        <v>64.752195417381657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0.35247804582618353</v>
      </c>
      <c r="E51" s="108">
        <f>F51/C51*100%</f>
        <v>0.35247804582618353</v>
      </c>
      <c r="F51" s="107">
        <v>17460000</v>
      </c>
      <c r="G51" s="111">
        <f>H51</f>
        <v>35.24780458261835</v>
      </c>
      <c r="H51" s="111">
        <f>F51/C51*100</f>
        <v>35.24780458261835</v>
      </c>
      <c r="I51" s="108">
        <f>E51-H51</f>
        <v>-34.895326536792169</v>
      </c>
      <c r="J51" s="89">
        <f t="shared" si="3"/>
        <v>32075000</v>
      </c>
      <c r="K51" s="12">
        <f t="shared" si="9"/>
        <v>64.752195417381657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E52</f>
        <v>0.77272727272727271</v>
      </c>
      <c r="E52" s="39">
        <f>E53+E54</f>
        <v>0.77272727272727271</v>
      </c>
      <c r="F52" s="37">
        <f>SUM(F53:F54)</f>
        <v>102000000</v>
      </c>
      <c r="G52" s="37">
        <f>H52</f>
        <v>68.697073787526946</v>
      </c>
      <c r="H52" s="37">
        <f>F52/C52*100</f>
        <v>68.697073787526946</v>
      </c>
      <c r="I52" s="37">
        <f>E52-H52</f>
        <v>-67.92434651479968</v>
      </c>
      <c r="J52" s="52">
        <f t="shared" si="3"/>
        <v>46477940</v>
      </c>
      <c r="K52" s="51">
        <f t="shared" si="9"/>
        <v>31.302926212473043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4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9"/>
    </row>
    <row r="54" spans="1:14" ht="29.45" customHeight="1">
      <c r="A54" s="15"/>
      <c r="B54" s="64" t="s">
        <v>47</v>
      </c>
      <c r="C54" s="120">
        <v>132000000</v>
      </c>
      <c r="D54" s="14">
        <f t="shared" si="34"/>
        <v>0.77272727272727271</v>
      </c>
      <c r="E54" s="108">
        <f>F54/C54*100%</f>
        <v>0.77272727272727271</v>
      </c>
      <c r="F54" s="107">
        <f>6000000+6000000+6000000+6000000+6000000+6000000+60000000+6000000</f>
        <v>102000000</v>
      </c>
      <c r="G54" s="111">
        <f>H54</f>
        <v>77.272727272727266</v>
      </c>
      <c r="H54" s="111">
        <f>F54/C54*100</f>
        <v>77.272727272727266</v>
      </c>
      <c r="I54" s="108">
        <f>E54-H54</f>
        <v>-76.5</v>
      </c>
      <c r="J54" s="89">
        <f t="shared" si="3"/>
        <v>30000000</v>
      </c>
      <c r="K54" s="12">
        <f t="shared" si="9"/>
        <v>22.727272727272727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0.46491353912022526</v>
      </c>
      <c r="E55" s="79">
        <f>E56</f>
        <v>0.46491353912022526</v>
      </c>
      <c r="F55" s="113">
        <f>F56+F60</f>
        <v>2690139274</v>
      </c>
      <c r="G55" s="113">
        <f t="shared" ref="G55:I55" si="35">G56+G60</f>
        <v>46.491353912022525</v>
      </c>
      <c r="H55" s="113">
        <f t="shared" si="35"/>
        <v>46.491353912022525</v>
      </c>
      <c r="I55" s="113">
        <f t="shared" si="35"/>
        <v>-46.0264403729023</v>
      </c>
      <c r="J55" s="59">
        <f t="shared" si="3"/>
        <v>3175262300</v>
      </c>
      <c r="K55" s="58">
        <f t="shared" si="9"/>
        <v>54.135463018853137</v>
      </c>
      <c r="L55" s="77"/>
    </row>
    <row r="56" spans="1:14" ht="29.45" customHeight="1">
      <c r="A56" s="69" t="s">
        <v>91</v>
      </c>
      <c r="B56" s="204" t="s">
        <v>75</v>
      </c>
      <c r="C56" s="139">
        <f>C57+C58+C59</f>
        <v>5786321644</v>
      </c>
      <c r="D56" s="114">
        <f>E56</f>
        <v>0.46491353912022526</v>
      </c>
      <c r="E56" s="114">
        <f>F56/C56*100%</f>
        <v>0.46491353912022526</v>
      </c>
      <c r="F56" s="140">
        <f>F57+F58+F59</f>
        <v>2690139274</v>
      </c>
      <c r="G56" s="140">
        <f>H56</f>
        <v>46.491353912022525</v>
      </c>
      <c r="H56" s="140">
        <f>F56/C56*100</f>
        <v>46.491353912022525</v>
      </c>
      <c r="I56" s="140">
        <f>E56-H56</f>
        <v>-46.0264403729023</v>
      </c>
      <c r="J56" s="52">
        <f>C56-F56</f>
        <v>3096182370</v>
      </c>
      <c r="K56" s="51">
        <f t="shared" si="9"/>
        <v>53.508646087977475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0.8800533029214862</v>
      </c>
      <c r="E57" s="108">
        <f>F57/C57*100%</f>
        <v>0.8800533029214862</v>
      </c>
      <c r="F57" s="107">
        <f>12811000+10988000+10857940+8474300+11962442+9826442+10322702+14165000+14047965+9530000+10934732+12511000+10906091</f>
        <v>147337614</v>
      </c>
      <c r="G57" s="111">
        <f>H57</f>
        <v>88.005330292148614</v>
      </c>
      <c r="H57" s="111">
        <f>F57/C57*100</f>
        <v>88.005330292148614</v>
      </c>
      <c r="I57" s="108">
        <f>E57-H57</f>
        <v>-87.125276989227132</v>
      </c>
      <c r="J57" s="122">
        <f>C57-F57</f>
        <v>20081352</v>
      </c>
      <c r="K57" s="123">
        <f t="shared" si="9"/>
        <v>11.994669707851379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6">E58</f>
        <v>0.33874154901718301</v>
      </c>
      <c r="E58" s="108">
        <f t="shared" ref="E58:E59" si="37">F58/C58*100%</f>
        <v>0.33874154901718301</v>
      </c>
      <c r="F58" s="107">
        <f>33568000+30000000+30398000+30595600+2574500+33881770+23178900+35846000+2755927+39272726+24875310+29952600+34080000+30282000</f>
        <v>381261333</v>
      </c>
      <c r="G58" s="111">
        <f t="shared" ref="G58:G59" si="38">H58</f>
        <v>33.874154901718299</v>
      </c>
      <c r="H58" s="111">
        <f t="shared" ref="H58:H59" si="39">F58/C58*100</f>
        <v>33.874154901718299</v>
      </c>
      <c r="I58" s="108">
        <f t="shared" ref="I58:I59" si="40">E58-H58</f>
        <v>-33.535413352701113</v>
      </c>
      <c r="J58" s="122">
        <f t="shared" ref="J58:J59" si="41">C58-F58</f>
        <v>744261456</v>
      </c>
      <c r="K58" s="123">
        <f t="shared" si="9"/>
        <v>66.125845098281701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6"/>
        <v>0.48104998473232807</v>
      </c>
      <c r="E59" s="108">
        <f t="shared" si="37"/>
        <v>0.48104998473232807</v>
      </c>
      <c r="F59" s="107">
        <f>47710000+42763636+28800000+56250000+33600000+93150000+12708191+2574500+13500000+37500000+34140000+40200000+44400000+19250000+48150000+44700000+2790000+63000000+38400000+17640000+18624000+21450000+45000000+40200000+28800000+44700000+26550000+29700000+63000000+33600000+38400000+93150000+129840000+13500000+47250000+17460000+47250000+34200000+38400000+92550000+66300000+66300000+50400000+50400000+42900000+42900000+3800000+34200000+37500000+34140000+48000000+38400000+21450000</f>
        <v>2161540327</v>
      </c>
      <c r="G59" s="111">
        <f t="shared" si="38"/>
        <v>48.104998473232804</v>
      </c>
      <c r="H59" s="111">
        <f t="shared" si="39"/>
        <v>48.104998473232804</v>
      </c>
      <c r="I59" s="108">
        <f t="shared" si="40"/>
        <v>-47.623948488500474</v>
      </c>
      <c r="J59" s="122">
        <f t="shared" si="41"/>
        <v>2331839562</v>
      </c>
      <c r="K59" s="123">
        <f t="shared" si="9"/>
        <v>51.895001526767196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2">F60</f>
        <v>0</v>
      </c>
      <c r="H60" s="109">
        <f t="shared" si="42"/>
        <v>0</v>
      </c>
      <c r="I60" s="109">
        <f t="shared" si="42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3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9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3"/>
        <v>0</v>
      </c>
      <c r="E62" s="108">
        <f t="shared" ref="E62:E63" si="44">F62/C62*100%</f>
        <v>0</v>
      </c>
      <c r="F62" s="107">
        <v>0</v>
      </c>
      <c r="G62" s="111">
        <f t="shared" ref="G62:G63" si="45">H62</f>
        <v>0</v>
      </c>
      <c r="H62" s="111">
        <f t="shared" ref="H62:H63" si="46">F62/C62*100</f>
        <v>0</v>
      </c>
      <c r="I62" s="108">
        <f t="shared" ref="I62:I63" si="47">E62-H62</f>
        <v>0</v>
      </c>
      <c r="J62" s="89">
        <f t="shared" si="3"/>
        <v>15600000</v>
      </c>
      <c r="K62" s="12">
        <f t="shared" si="9"/>
        <v>100</v>
      </c>
      <c r="L62" s="9"/>
    </row>
    <row r="63" spans="1:14" ht="19.149999999999999" customHeight="1">
      <c r="A63" s="18"/>
      <c r="B63" s="34" t="s">
        <v>70</v>
      </c>
      <c r="C63" s="120">
        <v>24109818</v>
      </c>
      <c r="D63" s="14">
        <f t="shared" si="43"/>
        <v>0</v>
      </c>
      <c r="E63" s="108">
        <f t="shared" si="44"/>
        <v>0</v>
      </c>
      <c r="F63" s="107">
        <v>0</v>
      </c>
      <c r="G63" s="111">
        <f t="shared" si="45"/>
        <v>0</v>
      </c>
      <c r="H63" s="111">
        <f t="shared" si="46"/>
        <v>0</v>
      </c>
      <c r="I63" s="108">
        <f t="shared" si="47"/>
        <v>0</v>
      </c>
      <c r="J63" s="89">
        <f t="shared" si="3"/>
        <v>24109818</v>
      </c>
      <c r="K63" s="12">
        <f t="shared" si="9"/>
        <v>100</v>
      </c>
      <c r="L63" s="202"/>
    </row>
    <row r="64" spans="1:14" ht="19.149999999999999" customHeight="1">
      <c r="A64" s="190" t="s">
        <v>82</v>
      </c>
      <c r="B64" s="76" t="s">
        <v>137</v>
      </c>
      <c r="C64" s="196">
        <f>C65</f>
        <v>1400000000</v>
      </c>
      <c r="D64" s="191">
        <f>D65</f>
        <v>0.36080155000000003</v>
      </c>
      <c r="E64" s="191">
        <f t="shared" ref="E64:K64" si="48">E65</f>
        <v>0.36080155000000003</v>
      </c>
      <c r="F64" s="191">
        <f t="shared" si="48"/>
        <v>505122170</v>
      </c>
      <c r="G64" s="191">
        <f t="shared" si="48"/>
        <v>36.080155000000005</v>
      </c>
      <c r="H64" s="191">
        <f t="shared" si="48"/>
        <v>36.080155000000005</v>
      </c>
      <c r="I64" s="191">
        <f t="shared" si="48"/>
        <v>36.080155000000005</v>
      </c>
      <c r="J64" s="191">
        <f t="shared" si="48"/>
        <v>894877830</v>
      </c>
      <c r="K64" s="191">
        <f t="shared" si="48"/>
        <v>63.919844999999995</v>
      </c>
      <c r="L64" s="191"/>
    </row>
    <row r="65" spans="1:12" ht="19.149999999999999" customHeight="1">
      <c r="A65" s="192" t="s">
        <v>93</v>
      </c>
      <c r="B65" s="29" t="s">
        <v>142</v>
      </c>
      <c r="C65" s="195">
        <f>C66+C67</f>
        <v>1400000000</v>
      </c>
      <c r="D65" s="38">
        <f>E65</f>
        <v>0.36080155000000003</v>
      </c>
      <c r="E65" s="109">
        <f>F65/C65*100%</f>
        <v>0.36080155000000003</v>
      </c>
      <c r="F65" s="109">
        <f>F66+F67</f>
        <v>505122170</v>
      </c>
      <c r="G65" s="197">
        <f>H65</f>
        <v>36.080155000000005</v>
      </c>
      <c r="H65" s="109">
        <f>F65/C65*100</f>
        <v>36.080155000000005</v>
      </c>
      <c r="I65" s="109">
        <f>H65</f>
        <v>36.080155000000005</v>
      </c>
      <c r="J65" s="52">
        <f t="shared" ref="J65:J67" si="49">C65-F65</f>
        <v>894877830</v>
      </c>
      <c r="K65" s="51">
        <f t="shared" ref="K65:K67" si="50">J65/C65*100</f>
        <v>63.919844999999995</v>
      </c>
      <c r="L65" s="73"/>
    </row>
    <row r="66" spans="1:12" ht="36" customHeight="1">
      <c r="A66" s="189"/>
      <c r="B66" s="194" t="s">
        <v>143</v>
      </c>
      <c r="C66" s="188">
        <v>1040800750</v>
      </c>
      <c r="D66" s="14">
        <f t="shared" ref="D66:D67" si="51">E66</f>
        <v>0.38040438575779273</v>
      </c>
      <c r="E66" s="108">
        <f>F66/C66*100%</f>
        <v>0.38040438575779273</v>
      </c>
      <c r="F66" s="107">
        <f>13051100+14945000+44465000+11030000+25921860+13450000+21694530+20360000+15765000+120607500+13459220+15200000+1500000+18850000+6173280+4995000+4193280+6300000+23964400</f>
        <v>395925170</v>
      </c>
      <c r="G66" s="111">
        <f>H66</f>
        <v>38.04043857577927</v>
      </c>
      <c r="H66" s="111">
        <f>F66/C66*100</f>
        <v>38.04043857577927</v>
      </c>
      <c r="I66" s="108">
        <f>E66-H66</f>
        <v>-37.660034190021477</v>
      </c>
      <c r="J66" s="89">
        <f t="shared" si="49"/>
        <v>644875580</v>
      </c>
      <c r="K66" s="12">
        <f t="shared" si="50"/>
        <v>61.959561424220723</v>
      </c>
      <c r="L66" s="16"/>
    </row>
    <row r="67" spans="1:12" ht="19.149999999999999" customHeight="1">
      <c r="A67" s="189"/>
      <c r="B67" s="193" t="s">
        <v>144</v>
      </c>
      <c r="C67" s="188">
        <v>359199250</v>
      </c>
      <c r="D67" s="14">
        <f t="shared" si="51"/>
        <v>0.30400119153923622</v>
      </c>
      <c r="E67" s="108">
        <f t="shared" ref="E67" si="52">F67/C67*100%</f>
        <v>0.30400119153923622</v>
      </c>
      <c r="F67" s="107">
        <f>5420000+4462500+8045000+7118000+22365000+6710000+11151500+8220000+10150000+7415000+4800000+3420000+2920000+2250000+4750000</f>
        <v>109197000</v>
      </c>
      <c r="G67" s="111">
        <f t="shared" ref="G67" si="53">H67</f>
        <v>30.400119153923622</v>
      </c>
      <c r="H67" s="111">
        <f t="shared" ref="H67" si="54">F67/C67*100</f>
        <v>30.400119153923622</v>
      </c>
      <c r="I67" s="108">
        <f t="shared" ref="I67" si="55">E67-H67</f>
        <v>-30.096117962384387</v>
      </c>
      <c r="J67" s="89">
        <f t="shared" si="49"/>
        <v>250002250</v>
      </c>
      <c r="K67" s="12">
        <f t="shared" si="50"/>
        <v>69.599880846076374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0.15254847304502861</v>
      </c>
      <c r="E68" s="79">
        <f>F68/C68*100%</f>
        <v>0.15254847304502861</v>
      </c>
      <c r="F68" s="80">
        <f>F69</f>
        <v>45860800</v>
      </c>
      <c r="G68" s="80">
        <f t="shared" ref="G68:I68" si="56">G69</f>
        <v>15.25484730450286</v>
      </c>
      <c r="H68" s="80">
        <f t="shared" si="56"/>
        <v>15.25484730450286</v>
      </c>
      <c r="I68" s="80">
        <f t="shared" si="56"/>
        <v>-64.24435744263576</v>
      </c>
      <c r="J68" s="59">
        <f t="shared" si="3"/>
        <v>254770200</v>
      </c>
      <c r="K68" s="58">
        <f t="shared" si="9"/>
        <v>84.74515269549714</v>
      </c>
      <c r="L68" s="82"/>
    </row>
    <row r="69" spans="1:12" ht="37.15" customHeight="1">
      <c r="A69" s="70" t="s">
        <v>139</v>
      </c>
      <c r="B69" s="205" t="s">
        <v>71</v>
      </c>
      <c r="C69" s="84">
        <f>SUM(C70:C72)</f>
        <v>300631000</v>
      </c>
      <c r="D69" s="114">
        <f>E69</f>
        <v>0.15254847304502861</v>
      </c>
      <c r="E69" s="114">
        <f>F69/C69*100%</f>
        <v>0.15254847304502861</v>
      </c>
      <c r="F69" s="114">
        <f>SUM(F70:F72)</f>
        <v>45860800</v>
      </c>
      <c r="G69" s="114">
        <f>H69</f>
        <v>15.25484730450286</v>
      </c>
      <c r="H69" s="114">
        <f>F69/C69*100</f>
        <v>15.25484730450286</v>
      </c>
      <c r="I69" s="114">
        <f t="shared" ref="I69" si="57">SUM(I70:I72)</f>
        <v>-64.24435744263576</v>
      </c>
      <c r="J69" s="52">
        <f t="shared" si="3"/>
        <v>254770200</v>
      </c>
      <c r="K69" s="51">
        <f t="shared" si="9"/>
        <v>84.74515269549714</v>
      </c>
      <c r="L69" s="83"/>
    </row>
    <row r="70" spans="1:12" ht="76.150000000000006" customHeight="1">
      <c r="A70" s="43"/>
      <c r="B70" s="64" t="s">
        <v>52</v>
      </c>
      <c r="C70" s="26">
        <v>99126000</v>
      </c>
      <c r="D70" s="14">
        <f t="shared" ref="D70:D72" si="58">E70</f>
        <v>0</v>
      </c>
      <c r="E70" s="108">
        <f>F70/C70*100%</f>
        <v>0</v>
      </c>
      <c r="F70" s="115">
        <v>0</v>
      </c>
      <c r="G70" s="116">
        <f>H70</f>
        <v>0</v>
      </c>
      <c r="H70" s="116">
        <f>F70/C70*100</f>
        <v>0</v>
      </c>
      <c r="I70" s="108">
        <f>E70-H70</f>
        <v>0</v>
      </c>
      <c r="J70" s="89">
        <f t="shared" si="3"/>
        <v>99126000</v>
      </c>
      <c r="K70" s="12">
        <f t="shared" si="9"/>
        <v>100</v>
      </c>
      <c r="L70" s="19"/>
    </row>
    <row r="71" spans="1:12" ht="48" customHeight="1">
      <c r="A71" s="41"/>
      <c r="B71" s="64" t="s">
        <v>53</v>
      </c>
      <c r="C71" s="26">
        <v>163575000</v>
      </c>
      <c r="D71" s="14">
        <f t="shared" si="58"/>
        <v>0.16910163533547304</v>
      </c>
      <c r="E71" s="108">
        <f t="shared" ref="E71:E72" si="59">F71/C71*100%</f>
        <v>0.16910163533547304</v>
      </c>
      <c r="F71" s="115">
        <f>24460800+3200000</f>
        <v>27660800</v>
      </c>
      <c r="G71" s="116">
        <f t="shared" ref="G71:G72" si="60">H71</f>
        <v>16.910163533547305</v>
      </c>
      <c r="H71" s="116">
        <f t="shared" ref="H71:H72" si="61">F71/C71*100</f>
        <v>16.910163533547305</v>
      </c>
      <c r="I71" s="108">
        <f t="shared" ref="I71:I72" si="62">E71-H71</f>
        <v>-16.741061898211832</v>
      </c>
      <c r="J71" s="89">
        <f t="shared" si="3"/>
        <v>135914200</v>
      </c>
      <c r="K71" s="12">
        <f t="shared" si="9"/>
        <v>83.089836466452695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58"/>
        <v>0.47983126812549431</v>
      </c>
      <c r="E72" s="108">
        <f t="shared" si="59"/>
        <v>0.47983126812549431</v>
      </c>
      <c r="F72" s="115">
        <f>9100000+9100000</f>
        <v>18200000</v>
      </c>
      <c r="G72" s="116">
        <f t="shared" si="60"/>
        <v>47.983126812549429</v>
      </c>
      <c r="H72" s="116">
        <f t="shared" si="61"/>
        <v>47.983126812549429</v>
      </c>
      <c r="I72" s="108">
        <f t="shared" si="62"/>
        <v>-47.503295544423935</v>
      </c>
      <c r="J72" s="125">
        <f t="shared" si="3"/>
        <v>19730000</v>
      </c>
      <c r="K72" s="7">
        <f t="shared" si="9"/>
        <v>52.016873187450564</v>
      </c>
      <c r="L72" s="19"/>
    </row>
    <row r="73" spans="1:12">
      <c r="G73" s="117"/>
      <c r="H73" s="117"/>
    </row>
    <row r="74" spans="1:12">
      <c r="G74" s="117"/>
      <c r="H74" s="117"/>
      <c r="I74" s="232" t="s">
        <v>150</v>
      </c>
      <c r="J74" s="232"/>
      <c r="K74" s="232"/>
    </row>
    <row r="75" spans="1:12">
      <c r="G75" s="117"/>
      <c r="H75" s="117"/>
    </row>
    <row r="76" spans="1:12">
      <c r="G76" s="117"/>
      <c r="H76" s="117"/>
      <c r="I76" s="232" t="s">
        <v>145</v>
      </c>
      <c r="J76" s="232"/>
      <c r="K76" s="232"/>
    </row>
    <row r="77" spans="1:12">
      <c r="G77" s="117"/>
      <c r="H77" s="117"/>
      <c r="I77" s="232" t="s">
        <v>146</v>
      </c>
      <c r="J77" s="232"/>
      <c r="K77" s="232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  <c r="I81" s="231" t="s">
        <v>147</v>
      </c>
      <c r="J81" s="231"/>
      <c r="K81" s="231"/>
    </row>
    <row r="82" spans="1:14">
      <c r="G82" s="117"/>
      <c r="H82" s="117"/>
      <c r="I82" s="232" t="s">
        <v>148</v>
      </c>
      <c r="J82" s="232"/>
      <c r="K82" s="232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8">
    <mergeCell ref="I81:K81"/>
    <mergeCell ref="I82:K82"/>
    <mergeCell ref="D8:E8"/>
    <mergeCell ref="F8:H8"/>
    <mergeCell ref="A12:B12"/>
    <mergeCell ref="I74:K74"/>
    <mergeCell ref="I76:K76"/>
    <mergeCell ref="I77:K77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300" r:id="rId1"/>
  <rowBreaks count="1" manualBreakCount="1">
    <brk id="39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zoomScale="80" zoomScaleSheetLayoutView="80" workbookViewId="0">
      <selection activeCell="C24" sqref="C24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141</v>
      </c>
      <c r="N5" s="44"/>
    </row>
    <row r="6" spans="1:14">
      <c r="A6" s="4"/>
      <c r="C6" s="22"/>
      <c r="J6" s="3" t="s">
        <v>3</v>
      </c>
      <c r="K6" s="3" t="s">
        <v>140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187" t="s">
        <v>8</v>
      </c>
      <c r="C10" s="129">
        <f>C11</f>
        <v>21589005295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187" t="s">
        <v>9</v>
      </c>
      <c r="C11" s="129">
        <f>C12</f>
        <v>21589005295</v>
      </c>
      <c r="D11" s="94">
        <f t="shared" ref="D11:I11" si="0">D12</f>
        <v>0.38505693497260313</v>
      </c>
      <c r="E11" s="94">
        <f t="shared" si="0"/>
        <v>0.38505693497260313</v>
      </c>
      <c r="F11" s="94">
        <f t="shared" si="0"/>
        <v>8312996208</v>
      </c>
      <c r="G11" s="94">
        <f t="shared" si="0"/>
        <v>38.50569349726031</v>
      </c>
      <c r="H11" s="94">
        <f t="shared" si="0"/>
        <v>38.50569349726031</v>
      </c>
      <c r="I11" s="94">
        <f t="shared" si="0"/>
        <v>38.120636562287707</v>
      </c>
      <c r="J11" s="6">
        <f>C11-F11</f>
        <v>13276009087</v>
      </c>
      <c r="K11" s="6">
        <f>J11/C11*100</f>
        <v>61.494306502739683</v>
      </c>
      <c r="L11" s="9"/>
      <c r="N11" s="1"/>
    </row>
    <row r="12" spans="1:14" ht="25.15" customHeight="1">
      <c r="A12" s="236" t="s">
        <v>66</v>
      </c>
      <c r="B12" s="237"/>
      <c r="C12" s="127">
        <f>C13+C49+C55+C64+C68</f>
        <v>21589005295</v>
      </c>
      <c r="D12" s="126">
        <f>E12</f>
        <v>0.38505693497260313</v>
      </c>
      <c r="E12" s="126">
        <f>F12/C12*100%</f>
        <v>0.38505693497260313</v>
      </c>
      <c r="F12" s="126">
        <f>F13+F68+F49+F55+F64</f>
        <v>8312996208</v>
      </c>
      <c r="G12" s="126">
        <f>H12</f>
        <v>38.50569349726031</v>
      </c>
      <c r="H12" s="126">
        <f>F12/C12*100</f>
        <v>38.50569349726031</v>
      </c>
      <c r="I12" s="126">
        <f>H12-E12</f>
        <v>38.120636562287707</v>
      </c>
      <c r="J12" s="126">
        <f>J13+J68+J49+J55+J64</f>
        <v>13276009087</v>
      </c>
      <c r="K12" s="146">
        <f>J12/C12*100</f>
        <v>61.494306502739683</v>
      </c>
      <c r="L12" s="128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0.43141996349218892</v>
      </c>
      <c r="E13" s="57">
        <f>F13/C13*100%</f>
        <v>0.43141996349218892</v>
      </c>
      <c r="F13" s="57">
        <f t="shared" si="1"/>
        <v>5964363644</v>
      </c>
      <c r="G13" s="57">
        <f>H13</f>
        <v>43.141996349218893</v>
      </c>
      <c r="H13" s="57">
        <f>F13/C13*100</f>
        <v>43.141996349218893</v>
      </c>
      <c r="I13" s="57">
        <f>H13-E13</f>
        <v>42.710576385726704</v>
      </c>
      <c r="J13" s="59">
        <f>C13-F13</f>
        <v>7860596137</v>
      </c>
      <c r="K13" s="58">
        <f>J13/C13*100</f>
        <v>56.858003650781107</v>
      </c>
      <c r="L13" s="58">
        <f>L14+L21+L25+L27+L36+L39+L43</f>
        <v>0</v>
      </c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F14" si="2">SUM(C15:C20)</f>
        <v>140773000</v>
      </c>
      <c r="D14" s="38">
        <f>E14</f>
        <v>0.22926981736554594</v>
      </c>
      <c r="E14" s="38">
        <f>F14/C14*100%</f>
        <v>0.22926981736554594</v>
      </c>
      <c r="F14" s="36">
        <f t="shared" si="2"/>
        <v>32275000</v>
      </c>
      <c r="G14" s="90">
        <f>H14</f>
        <v>22.926981736554595</v>
      </c>
      <c r="H14" s="90">
        <f>F14/C14*100</f>
        <v>22.926981736554595</v>
      </c>
      <c r="I14" s="99">
        <f>H14-E14</f>
        <v>22.69771191918905</v>
      </c>
      <c r="J14" s="52">
        <f>C14-F14</f>
        <v>108498000</v>
      </c>
      <c r="K14" s="51">
        <f>J14/C14*100</f>
        <v>77.073018263445405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0.35198414767690461</v>
      </c>
      <c r="E15" s="11">
        <f>F15/C15*100%</f>
        <v>0.35198414767690461</v>
      </c>
      <c r="F15" s="100">
        <f>4500000+4500000+4500000+4500000+4500000+4500000</f>
        <v>27000000</v>
      </c>
      <c r="G15" s="101">
        <f>H15</f>
        <v>35.198414767690458</v>
      </c>
      <c r="H15" s="101">
        <f>F15/C15*100</f>
        <v>35.198414767690458</v>
      </c>
      <c r="I15" s="102">
        <f>H15-E15</f>
        <v>34.846430620013557</v>
      </c>
      <c r="J15" s="89">
        <f t="shared" ref="J15:J72" si="3">C15-F15</f>
        <v>49708000</v>
      </c>
      <c r="K15" s="12">
        <f>J15/C15*100</f>
        <v>64.801585232309534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F16/C16*100%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72" si="9">J16/C16*100</f>
        <v>100</v>
      </c>
      <c r="L16" s="13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13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0.71768707482993199</v>
      </c>
      <c r="E18" s="11">
        <f t="shared" si="5"/>
        <v>0.71768707482993199</v>
      </c>
      <c r="F18" s="100">
        <v>5275000</v>
      </c>
      <c r="G18" s="101">
        <f t="shared" si="6"/>
        <v>71.768707482993193</v>
      </c>
      <c r="H18" s="101">
        <f t="shared" si="7"/>
        <v>71.768707482993193</v>
      </c>
      <c r="I18" s="102">
        <f t="shared" si="8"/>
        <v>71.051020408163268</v>
      </c>
      <c r="J18" s="89">
        <f t="shared" si="3"/>
        <v>2075000</v>
      </c>
      <c r="K18" s="12">
        <f t="shared" si="9"/>
        <v>28.2312925170068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13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13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0.76126190681724737</v>
      </c>
      <c r="E21" s="38">
        <f>SUM(E22:E24)</f>
        <v>0.76126190681724737</v>
      </c>
      <c r="F21" s="36">
        <f>SUM(F22:F24)</f>
        <v>4811255600</v>
      </c>
      <c r="G21" s="90">
        <f t="shared" si="6"/>
        <v>76.126190681724736</v>
      </c>
      <c r="H21" s="90">
        <f>SUM(H22:H24)</f>
        <v>76.126190681724736</v>
      </c>
      <c r="I21" s="99">
        <f>E21-H21</f>
        <v>-75.364928774907483</v>
      </c>
      <c r="J21" s="52">
        <f t="shared" si="3"/>
        <v>5770031662</v>
      </c>
      <c r="K21" s="51">
        <f t="shared" si="9"/>
        <v>54.530526571389856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0.45580736136270189</v>
      </c>
      <c r="E22" s="85">
        <f>F22/C22*100%</f>
        <v>0.45580736136270189</v>
      </c>
      <c r="F22" s="103">
        <f>586844600+275805000+987621900+615632300+876761900+5170800+589503100+343100000+520316000</f>
        <v>4800755600</v>
      </c>
      <c r="G22" s="104">
        <f>H22</f>
        <v>45.58073613627019</v>
      </c>
      <c r="H22" s="104">
        <f>F22/C22*100</f>
        <v>45.58073613627019</v>
      </c>
      <c r="I22" s="105">
        <f>E22-H22</f>
        <v>-45.124928774907488</v>
      </c>
      <c r="J22" s="89">
        <f t="shared" si="3"/>
        <v>5731666662</v>
      </c>
      <c r="K22" s="12">
        <f t="shared" si="9"/>
        <v>54.419263863729817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13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0.30545454545454548</v>
      </c>
      <c r="E24" s="85">
        <f t="shared" si="11"/>
        <v>0.30545454545454548</v>
      </c>
      <c r="F24" s="103">
        <f>1750000+1750000+1750000+1750000+1750000+1750000</f>
        <v>10500000</v>
      </c>
      <c r="G24" s="104">
        <f t="shared" si="12"/>
        <v>30.545454545454547</v>
      </c>
      <c r="H24" s="104">
        <f t="shared" si="13"/>
        <v>30.545454545454547</v>
      </c>
      <c r="I24" s="105">
        <f t="shared" si="14"/>
        <v>-30.240000000000002</v>
      </c>
      <c r="J24" s="89">
        <f t="shared" si="3"/>
        <v>23875000</v>
      </c>
      <c r="K24" s="12">
        <f t="shared" si="9"/>
        <v>69.454545454545453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0.39964476021314388</v>
      </c>
      <c r="E25" s="38">
        <f>E26</f>
        <v>0.39964476021314388</v>
      </c>
      <c r="F25" s="36">
        <f>F26</f>
        <v>9000000</v>
      </c>
      <c r="G25" s="90">
        <f>H25</f>
        <v>39.96447602131439</v>
      </c>
      <c r="H25" s="90">
        <f>SUM(H26)</f>
        <v>39.96447602131439</v>
      </c>
      <c r="I25" s="99">
        <f>E25-H25</f>
        <v>-39.564831261101247</v>
      </c>
      <c r="J25" s="52">
        <f t="shared" si="3"/>
        <v>13520000</v>
      </c>
      <c r="K25" s="51">
        <f t="shared" si="9"/>
        <v>60.03552397868561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98">
        <f>E26</f>
        <v>0.39964476021314388</v>
      </c>
      <c r="E26" s="198">
        <f>F26/C26*100%</f>
        <v>0.39964476021314388</v>
      </c>
      <c r="F26" s="134">
        <f>1500000+1500000+1500000+1500000+1500000+1500000</f>
        <v>9000000</v>
      </c>
      <c r="G26" s="101">
        <f>H26</f>
        <v>39.96447602131439</v>
      </c>
      <c r="H26" s="101">
        <f>F26/C26*100</f>
        <v>39.96447602131439</v>
      </c>
      <c r="I26" s="102">
        <f>E26-H26</f>
        <v>-39.564831261101247</v>
      </c>
      <c r="J26" s="89">
        <f t="shared" si="3"/>
        <v>13520000</v>
      </c>
      <c r="K26" s="12">
        <f t="shared" si="9"/>
        <v>60.03552397868561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E27</f>
        <v>0.41358569570613424</v>
      </c>
      <c r="E27" s="38">
        <f>F27/C27*100%</f>
        <v>0.41358569570613424</v>
      </c>
      <c r="F27" s="36">
        <f>SUM(F28:F35)</f>
        <v>345506093</v>
      </c>
      <c r="G27" s="90">
        <f t="shared" ref="G27:G35" si="15">H27</f>
        <v>41.358569570613426</v>
      </c>
      <c r="H27" s="90">
        <f>F27/C27*100</f>
        <v>41.358569570613426</v>
      </c>
      <c r="I27" s="99">
        <f>E27-H27</f>
        <v>-40.944983874907294</v>
      </c>
      <c r="J27" s="52">
        <f t="shared" si="3"/>
        <v>489885693</v>
      </c>
      <c r="K27" s="51">
        <f t="shared" si="9"/>
        <v>58.641430429386574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0.38455084138490281</v>
      </c>
      <c r="E28" s="14">
        <f>F28/C28*100%</f>
        <v>0.38455084138490281</v>
      </c>
      <c r="F28" s="106">
        <f>1069000+1205800+1785479+739000+271391+2626970+820000+1869081+805000+1842800+935200+1600000</f>
        <v>15569721</v>
      </c>
      <c r="G28" s="101">
        <f t="shared" si="15"/>
        <v>38.455084138490278</v>
      </c>
      <c r="H28" s="101">
        <f t="shared" ref="H28:H35" si="16">F28/C28*100</f>
        <v>38.455084138490278</v>
      </c>
      <c r="I28" s="102">
        <f>E28-H28</f>
        <v>-38.070533297105378</v>
      </c>
      <c r="J28" s="89">
        <f t="shared" si="3"/>
        <v>24918348</v>
      </c>
      <c r="K28" s="12">
        <f t="shared" si="9"/>
        <v>61.544915861509722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0.71491652232753922</v>
      </c>
      <c r="E29" s="14">
        <f t="shared" ref="E29:E35" si="18">F29/C29*100%</f>
        <v>0.71491652232753922</v>
      </c>
      <c r="F29" s="106">
        <f>48249723+4577000+5601100+4619985+2222000+870288+2844992+7535999+2390000+7589822+2380000+4229300+2645000+3055600+5742325+6109000+6077149</f>
        <v>116739283</v>
      </c>
      <c r="G29" s="101">
        <f t="shared" si="15"/>
        <v>71.491652232753921</v>
      </c>
      <c r="H29" s="101">
        <f t="shared" si="16"/>
        <v>71.491652232753921</v>
      </c>
      <c r="I29" s="102">
        <f t="shared" ref="I29:I35" si="19">E29-H29</f>
        <v>-70.776735710426379</v>
      </c>
      <c r="J29" s="89">
        <f t="shared" si="3"/>
        <v>46551506</v>
      </c>
      <c r="K29" s="12">
        <f t="shared" si="9"/>
        <v>28.508347767246072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0.30488005602003615</v>
      </c>
      <c r="E30" s="14">
        <f t="shared" si="18"/>
        <v>0.30488005602003615</v>
      </c>
      <c r="F30" s="106">
        <f>3112000+3567351+707283+2239604+918922+2738000+2796490+2082000+1092000+4000000+2206485</f>
        <v>25460135</v>
      </c>
      <c r="G30" s="101">
        <f t="shared" si="15"/>
        <v>30.488005602003614</v>
      </c>
      <c r="H30" s="101">
        <f t="shared" si="16"/>
        <v>30.488005602003614</v>
      </c>
      <c r="I30" s="102">
        <f t="shared" si="19"/>
        <v>-30.183125545983579</v>
      </c>
      <c r="J30" s="89">
        <f t="shared" si="3"/>
        <v>58048558</v>
      </c>
      <c r="K30" s="12">
        <f t="shared" si="9"/>
        <v>69.511994397996389</v>
      </c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0.38120744114462629</v>
      </c>
      <c r="E31" s="14">
        <f t="shared" si="18"/>
        <v>0.38120744114462629</v>
      </c>
      <c r="F31" s="106">
        <f>7680000+2560000+3200000+1600000+1200000+1500000+1900000+2496000+1200000+11200000+570000+2500000+2500000+2496600</f>
        <v>42602600</v>
      </c>
      <c r="G31" s="101">
        <f t="shared" si="15"/>
        <v>38.120744114462632</v>
      </c>
      <c r="H31" s="101">
        <f t="shared" si="16"/>
        <v>38.120744114462632</v>
      </c>
      <c r="I31" s="102">
        <f t="shared" si="19"/>
        <v>-37.739536673318007</v>
      </c>
      <c r="J31" s="89">
        <f t="shared" si="3"/>
        <v>69154400</v>
      </c>
      <c r="K31" s="12">
        <f t="shared" si="9"/>
        <v>61.879255885537376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0.39576832624490266</v>
      </c>
      <c r="E32" s="14">
        <f t="shared" si="18"/>
        <v>0.39576832624490266</v>
      </c>
      <c r="F32" s="106">
        <f>2135000+1500000+3429552+2344658+3160791+1100000+4966880+1100000+2005050+6997240+900000+4500000+2005250</f>
        <v>36144421</v>
      </c>
      <c r="G32" s="101">
        <f t="shared" si="15"/>
        <v>39.576832624490265</v>
      </c>
      <c r="H32" s="101">
        <f t="shared" si="16"/>
        <v>39.576832624490265</v>
      </c>
      <c r="I32" s="102">
        <f t="shared" si="19"/>
        <v>-39.18106429824536</v>
      </c>
      <c r="J32" s="89">
        <f t="shared" si="3"/>
        <v>55182799</v>
      </c>
      <c r="K32" s="12">
        <f t="shared" si="9"/>
        <v>60.423167375509735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0.25002105515664258</v>
      </c>
      <c r="E33" s="14">
        <f t="shared" si="18"/>
        <v>0.25002105515664258</v>
      </c>
      <c r="F33" s="106">
        <f>750000+4453000+927150+834435+1200000+661367+244000+915000+300000+1743042+2000000+271964</f>
        <v>14299958</v>
      </c>
      <c r="G33" s="101">
        <f t="shared" si="15"/>
        <v>25.002105515664258</v>
      </c>
      <c r="H33" s="101">
        <f t="shared" si="16"/>
        <v>25.002105515664258</v>
      </c>
      <c r="I33" s="102">
        <f t="shared" si="19"/>
        <v>-24.752084460507614</v>
      </c>
      <c r="J33" s="89">
        <f t="shared" si="3"/>
        <v>42895057</v>
      </c>
      <c r="K33" s="12">
        <f t="shared" si="9"/>
        <v>74.997894484335731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0.65640668523676882</v>
      </c>
      <c r="E34" s="14">
        <f t="shared" si="18"/>
        <v>0.65640668523676882</v>
      </c>
      <c r="F34" s="106">
        <f>7500000+5000000+5000000+5000000+1125000+2500000+2500000+1000000+2500000+25000000+5000000+570000+3000000+2500000+2500000</f>
        <v>70695000</v>
      </c>
      <c r="G34" s="101">
        <f t="shared" si="15"/>
        <v>65.640668523676879</v>
      </c>
      <c r="H34" s="101">
        <f t="shared" si="16"/>
        <v>65.640668523676879</v>
      </c>
      <c r="I34" s="102">
        <f t="shared" si="19"/>
        <v>-64.984261838440105</v>
      </c>
      <c r="J34" s="89">
        <f t="shared" si="3"/>
        <v>37005000</v>
      </c>
      <c r="K34" s="12">
        <f t="shared" si="9"/>
        <v>34.359331476323121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0.13321290770298405</v>
      </c>
      <c r="E35" s="14">
        <f t="shared" si="18"/>
        <v>0.13321290770298405</v>
      </c>
      <c r="F35" s="106">
        <f>1800000+1000000+2770000+600000+2000000+2000000+1900000+3750000+1000000+1500000+550000+600000+3024975+1500000</f>
        <v>23994975</v>
      </c>
      <c r="G35" s="101">
        <f t="shared" si="15"/>
        <v>13.321290770298406</v>
      </c>
      <c r="H35" s="101">
        <f t="shared" si="16"/>
        <v>13.321290770298406</v>
      </c>
      <c r="I35" s="102">
        <f t="shared" si="19"/>
        <v>-13.188077862595422</v>
      </c>
      <c r="J35" s="89">
        <f t="shared" si="3"/>
        <v>156130025</v>
      </c>
      <c r="K35" s="12">
        <f t="shared" si="9"/>
        <v>86.678709229701596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>E36</f>
        <v>2.9614818491110636E-2</v>
      </c>
      <c r="E36" s="38">
        <f>F36/C36*100%</f>
        <v>2.9614818491110636E-2</v>
      </c>
      <c r="F36" s="36">
        <f>SUM(F37:F38)</f>
        <v>4000000</v>
      </c>
      <c r="G36" s="36">
        <f>H36</f>
        <v>2.9614818491110637</v>
      </c>
      <c r="H36" s="36">
        <f>F36/C36*100</f>
        <v>2.9614818491110637</v>
      </c>
      <c r="I36" s="36">
        <f t="shared" ref="I36" si="20">SUM(I38:I38)</f>
        <v>0</v>
      </c>
      <c r="J36" s="52">
        <f t="shared" si="3"/>
        <v>131067517</v>
      </c>
      <c r="K36" s="51">
        <f t="shared" si="9"/>
        <v>97.038518150888947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4.9382716049382713E-2</v>
      </c>
      <c r="E37" s="133">
        <f>F37/C37*100%</f>
        <v>4.9382716049382713E-2</v>
      </c>
      <c r="F37" s="134">
        <v>4000000</v>
      </c>
      <c r="G37" s="134">
        <f>H37</f>
        <v>4.9382716049382713</v>
      </c>
      <c r="H37" s="134">
        <f>F37/C37*100</f>
        <v>4.9382716049382713</v>
      </c>
      <c r="I37" s="134">
        <f>E37-H37</f>
        <v>-4.8888888888888884</v>
      </c>
      <c r="J37" s="122">
        <f>C37-F37</f>
        <v>77000000</v>
      </c>
      <c r="K37" s="123">
        <f>J37/C37*100</f>
        <v>95.061728395061735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0.96370386080492343</v>
      </c>
      <c r="E39" s="38">
        <f>SUM(E40:E42)</f>
        <v>0.96370386080492343</v>
      </c>
      <c r="F39" s="36">
        <f>SUM(F40:F42)</f>
        <v>585988951</v>
      </c>
      <c r="G39" s="90">
        <f t="shared" ref="G39:G42" si="21">H39</f>
        <v>96.370386080492338</v>
      </c>
      <c r="H39" s="90">
        <f>SUM(H40:H42)</f>
        <v>96.370386080492338</v>
      </c>
      <c r="I39" s="99">
        <f>E39-H39</f>
        <v>-95.406682219687411</v>
      </c>
      <c r="J39" s="52">
        <f t="shared" si="3"/>
        <v>1018703265</v>
      </c>
      <c r="K39" s="51">
        <f t="shared" si="9"/>
        <v>63.482782233424885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f>E40</f>
        <v>0.3536903883878742</v>
      </c>
      <c r="E40" s="14">
        <f>F40/C40*100%</f>
        <v>0.3536903883878742</v>
      </c>
      <c r="F40" s="106">
        <f>2000000+1782011+882698+750000+500000+300000+500000+300000+1250000+1250000+2400000+300000+1200000+500000</f>
        <v>13914709</v>
      </c>
      <c r="G40" s="104">
        <f t="shared" si="21"/>
        <v>35.369038838787418</v>
      </c>
      <c r="H40" s="104">
        <f t="shared" ref="H40:H42" si="22">F40/C40*100</f>
        <v>35.369038838787418</v>
      </c>
      <c r="I40" s="105">
        <f t="shared" ref="I40:I42" si="23">E40-H40</f>
        <v>-35.015348450399543</v>
      </c>
      <c r="J40" s="89">
        <f t="shared" si="3"/>
        <v>25426787</v>
      </c>
      <c r="K40" s="12">
        <f t="shared" si="9"/>
        <v>64.630961161212568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:D42" si="24">E41</f>
        <v>0.11553458826362033</v>
      </c>
      <c r="E41" s="14">
        <f t="shared" ref="E41:E42" si="25">F41/C41*100%</f>
        <v>0.11553458826362033</v>
      </c>
      <c r="F41" s="106">
        <f>6786602+3106436+2575000+1023850+2000000+632698+1200000+2047000+3000000+4008704+5000000+5000000+1500000+2700365+84869+5000000+5000000+2808718+3400000+3700000+1000000</f>
        <v>61574242</v>
      </c>
      <c r="G41" s="104">
        <f t="shared" si="21"/>
        <v>11.553458826362032</v>
      </c>
      <c r="H41" s="104">
        <f t="shared" si="22"/>
        <v>11.553458826362032</v>
      </c>
      <c r="I41" s="105">
        <f t="shared" si="23"/>
        <v>-11.437924238098411</v>
      </c>
      <c r="J41" s="89">
        <f t="shared" si="3"/>
        <v>471376478</v>
      </c>
      <c r="K41" s="12">
        <f t="shared" si="9"/>
        <v>88.446541173637968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f t="shared" si="24"/>
        <v>0.49447888415342889</v>
      </c>
      <c r="E42" s="14">
        <f t="shared" si="25"/>
        <v>0.49447888415342889</v>
      </c>
      <c r="F42" s="106">
        <f>6200000+6200000+6200000+6200000+234000000+2710000+78000000+2790000+6200000+78000000+6000000+78000000</f>
        <v>510500000</v>
      </c>
      <c r="G42" s="104">
        <f t="shared" si="21"/>
        <v>49.447888415342888</v>
      </c>
      <c r="H42" s="104">
        <f t="shared" si="22"/>
        <v>49.447888415342888</v>
      </c>
      <c r="I42" s="105">
        <f t="shared" si="23"/>
        <v>-48.953409531189457</v>
      </c>
      <c r="J42" s="89">
        <f t="shared" si="3"/>
        <v>521900000</v>
      </c>
      <c r="K42" s="12">
        <f t="shared" si="9"/>
        <v>50.552111584657112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E43</f>
        <v>0.34902657809939275</v>
      </c>
      <c r="E43" s="39">
        <f>F43/C43*100%</f>
        <v>0.34902657809939275</v>
      </c>
      <c r="F43" s="37">
        <f>SUM(F44:F48)</f>
        <v>176338000</v>
      </c>
      <c r="G43" s="91">
        <f>H43</f>
        <v>34.902657809939278</v>
      </c>
      <c r="H43" s="91">
        <f>F43/C43*100</f>
        <v>34.902657809939278</v>
      </c>
      <c r="I43" s="91">
        <f>E43-H43</f>
        <v>-34.553631231839887</v>
      </c>
      <c r="J43" s="52">
        <f t="shared" si="3"/>
        <v>328890000</v>
      </c>
      <c r="K43" s="51">
        <f t="shared" si="9"/>
        <v>65.097342190060729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0.4241647730019823</v>
      </c>
      <c r="E44" s="14">
        <f>F44/C44*100%</f>
        <v>0.4241647730019823</v>
      </c>
      <c r="F44" s="107">
        <f>3920000+560000+5000000+4000000+1750000+1920000+2600000+2885000+520000+4100000+4375000+5000000+22070000+12960000+1150000+7300000+1100000+3200000+3320000</f>
        <v>87730000</v>
      </c>
      <c r="G44" s="104">
        <f t="shared" ref="G44:G48" si="26">H44</f>
        <v>42.416477300198231</v>
      </c>
      <c r="H44" s="104">
        <f t="shared" ref="H44:H48" si="27">F44/C44*100</f>
        <v>42.416477300198231</v>
      </c>
      <c r="I44" s="118">
        <f t="shared" ref="I44:I47" si="28">E44-H44</f>
        <v>-41.992312527196248</v>
      </c>
      <c r="J44" s="89">
        <f t="shared" si="3"/>
        <v>119100000</v>
      </c>
      <c r="K44" s="12">
        <f t="shared" si="9"/>
        <v>57.583522699801769</v>
      </c>
      <c r="L44" s="16"/>
    </row>
    <row r="45" spans="1:14" ht="37.15" customHeight="1">
      <c r="A45" s="15"/>
      <c r="B45" s="199" t="s">
        <v>73</v>
      </c>
      <c r="C45" s="24">
        <v>9240000</v>
      </c>
      <c r="D45" s="14">
        <f t="shared" ref="D45:D48" si="29">E45</f>
        <v>0.16450216450216451</v>
      </c>
      <c r="E45" s="14">
        <f t="shared" ref="E45:E48" si="30">F45/C45*100%</f>
        <v>0.16450216450216451</v>
      </c>
      <c r="F45" s="107">
        <v>1520000</v>
      </c>
      <c r="G45" s="104">
        <f t="shared" si="26"/>
        <v>16.450216450216452</v>
      </c>
      <c r="H45" s="104">
        <f t="shared" si="27"/>
        <v>16.450216450216452</v>
      </c>
      <c r="I45" s="118">
        <f t="shared" si="28"/>
        <v>-16.285714285714288</v>
      </c>
      <c r="J45" s="89">
        <f t="shared" si="3"/>
        <v>7720000</v>
      </c>
      <c r="K45" s="12">
        <f t="shared" si="9"/>
        <v>83.549783549783555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0.37261494494410358</v>
      </c>
      <c r="E46" s="14">
        <f t="shared" si="30"/>
        <v>0.37261494494410358</v>
      </c>
      <c r="F46" s="107">
        <f>2640000+550000+6070000+1000000+1050000+4060000+730000+5830000+1540000+1460000+4130000+700000+4000000+3220000+4070000+3280000</f>
        <v>44330000</v>
      </c>
      <c r="G46" s="104">
        <f t="shared" si="26"/>
        <v>37.261494494410357</v>
      </c>
      <c r="H46" s="104">
        <f t="shared" si="27"/>
        <v>37.261494494410357</v>
      </c>
      <c r="I46" s="105">
        <f t="shared" si="28"/>
        <v>-36.888879549466253</v>
      </c>
      <c r="J46" s="89">
        <f t="shared" si="3"/>
        <v>74640000</v>
      </c>
      <c r="K46" s="12">
        <f t="shared" si="9"/>
        <v>62.73850550558965</v>
      </c>
      <c r="L46" s="16"/>
    </row>
    <row r="47" spans="1:14" ht="19.149999999999999" customHeight="1">
      <c r="A47" s="15"/>
      <c r="B47" s="200" t="s">
        <v>42</v>
      </c>
      <c r="C47" s="24">
        <v>80708000</v>
      </c>
      <c r="D47" s="14">
        <f t="shared" si="29"/>
        <v>0.28904197849036029</v>
      </c>
      <c r="E47" s="14">
        <f t="shared" si="30"/>
        <v>0.28904197849036029</v>
      </c>
      <c r="F47" s="107">
        <v>23328000</v>
      </c>
      <c r="G47" s="104">
        <f t="shared" si="26"/>
        <v>28.904197849036027</v>
      </c>
      <c r="H47" s="104">
        <f t="shared" si="27"/>
        <v>28.904197849036027</v>
      </c>
      <c r="I47" s="105">
        <f t="shared" si="28"/>
        <v>-28.615155870545667</v>
      </c>
      <c r="J47" s="89">
        <f t="shared" si="3"/>
        <v>57380000</v>
      </c>
      <c r="K47" s="12">
        <f t="shared" si="9"/>
        <v>71.095802150963976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0.21714349575324096</v>
      </c>
      <c r="E48" s="14">
        <f t="shared" si="30"/>
        <v>0.21714349575324096</v>
      </c>
      <c r="F48" s="107">
        <f>15390000+4040000</f>
        <v>19430000</v>
      </c>
      <c r="G48" s="104">
        <f t="shared" si="26"/>
        <v>21.714349575324096</v>
      </c>
      <c r="H48" s="104">
        <f t="shared" si="27"/>
        <v>21.714349575324096</v>
      </c>
      <c r="I48" s="105">
        <f>E48-H48</f>
        <v>-21.497206079570855</v>
      </c>
      <c r="J48" s="89">
        <f t="shared" si="3"/>
        <v>70050000</v>
      </c>
      <c r="K48" s="12">
        <f t="shared" si="9"/>
        <v>78.285650424675907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</v>
      </c>
      <c r="E49" s="67">
        <f>E50</f>
        <v>0.35247804582618353</v>
      </c>
      <c r="F49" s="67">
        <f>F50+F52</f>
        <v>53460000</v>
      </c>
      <c r="G49" s="67">
        <f t="shared" ref="G49:I49" si="31">G50</f>
        <v>35.24780458261835</v>
      </c>
      <c r="H49" s="67">
        <f t="shared" si="31"/>
        <v>35.24780458261835</v>
      </c>
      <c r="I49" s="67">
        <f t="shared" si="31"/>
        <v>-34.895326536792169</v>
      </c>
      <c r="J49" s="59">
        <f t="shared" si="3"/>
        <v>144552940</v>
      </c>
      <c r="K49" s="58">
        <f t="shared" si="9"/>
        <v>73.001764430142799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0.35247804582618353</v>
      </c>
      <c r="E50" s="109">
        <f>SUM(E51:E51)</f>
        <v>0.35247804582618353</v>
      </c>
      <c r="F50" s="110">
        <f>SUM(F51)</f>
        <v>17460000</v>
      </c>
      <c r="G50" s="110">
        <f t="shared" ref="G50:I50" si="32">SUM(G51)</f>
        <v>35.24780458261835</v>
      </c>
      <c r="H50" s="110">
        <f t="shared" si="32"/>
        <v>35.24780458261835</v>
      </c>
      <c r="I50" s="110">
        <f t="shared" si="32"/>
        <v>-34.895326536792169</v>
      </c>
      <c r="J50" s="52">
        <f t="shared" si="3"/>
        <v>32075000</v>
      </c>
      <c r="K50" s="51">
        <f t="shared" si="9"/>
        <v>64.752195417381657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0.35247804582618353</v>
      </c>
      <c r="E51" s="108">
        <f>F51/C51*100%</f>
        <v>0.35247804582618353</v>
      </c>
      <c r="F51" s="107">
        <v>17460000</v>
      </c>
      <c r="G51" s="111">
        <f>H51</f>
        <v>35.24780458261835</v>
      </c>
      <c r="H51" s="111">
        <f>F51/C51*100</f>
        <v>35.24780458261835</v>
      </c>
      <c r="I51" s="108">
        <f>E51-H51</f>
        <v>-34.895326536792169</v>
      </c>
      <c r="J51" s="89">
        <f t="shared" si="3"/>
        <v>32075000</v>
      </c>
      <c r="K51" s="12">
        <f t="shared" si="9"/>
        <v>64.752195417381657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SUM(D53)</f>
        <v>0</v>
      </c>
      <c r="E52" s="39">
        <f>E53</f>
        <v>0</v>
      </c>
      <c r="F52" s="37">
        <f>SUM(F53:F54)</f>
        <v>36000000</v>
      </c>
      <c r="G52" s="37">
        <f t="shared" ref="G52:I52" si="34">SUM(G53:G54)</f>
        <v>27.27272727272727</v>
      </c>
      <c r="H52" s="37">
        <f t="shared" si="34"/>
        <v>27.27272727272727</v>
      </c>
      <c r="I52" s="37">
        <f t="shared" si="34"/>
        <v>-26.999999999999996</v>
      </c>
      <c r="J52" s="52">
        <f t="shared" si="3"/>
        <v>112477940</v>
      </c>
      <c r="K52" s="51">
        <f t="shared" si="9"/>
        <v>75.753973957343419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16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0.27272727272727271</v>
      </c>
      <c r="E54" s="108">
        <f>F54/C54*100%</f>
        <v>0.27272727272727271</v>
      </c>
      <c r="F54" s="107">
        <f>6000000+6000000+6000000+6000000+6000000+6000000</f>
        <v>36000000</v>
      </c>
      <c r="G54" s="111">
        <f>H54</f>
        <v>27.27272727272727</v>
      </c>
      <c r="H54" s="111">
        <f>F54/C54*100</f>
        <v>27.27272727272727</v>
      </c>
      <c r="I54" s="108">
        <f>E54-H54</f>
        <v>-26.999999999999996</v>
      </c>
      <c r="J54" s="89">
        <f t="shared" si="3"/>
        <v>96000000</v>
      </c>
      <c r="K54" s="12">
        <f t="shared" si="9"/>
        <v>72.727272727272734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0.3450442952942766</v>
      </c>
      <c r="E55" s="79">
        <f>E56</f>
        <v>0.3450442952942766</v>
      </c>
      <c r="F55" s="113">
        <f>F56+F60</f>
        <v>1996537274</v>
      </c>
      <c r="G55" s="113">
        <f t="shared" ref="G55:I55" si="36">G56+G60</f>
        <v>34.504429529427661</v>
      </c>
      <c r="H55" s="113">
        <f t="shared" si="36"/>
        <v>34.504429529427661</v>
      </c>
      <c r="I55" s="113">
        <f t="shared" si="36"/>
        <v>-34.159385234133381</v>
      </c>
      <c r="J55" s="59">
        <f t="shared" si="3"/>
        <v>3868864300</v>
      </c>
      <c r="K55" s="58">
        <f t="shared" si="9"/>
        <v>65.960774402042674</v>
      </c>
      <c r="L55" s="77"/>
    </row>
    <row r="56" spans="1:14" ht="29.45" customHeight="1">
      <c r="A56" s="69" t="s">
        <v>91</v>
      </c>
      <c r="B56" s="138" t="s">
        <v>75</v>
      </c>
      <c r="C56" s="139">
        <f>C57+C58+C59</f>
        <v>5786321644</v>
      </c>
      <c r="D56" s="114">
        <f>E56</f>
        <v>0.3450442952942766</v>
      </c>
      <c r="E56" s="114">
        <f>F56/C56*100%</f>
        <v>0.3450442952942766</v>
      </c>
      <c r="F56" s="140">
        <f>F57+F58+F59</f>
        <v>1996537274</v>
      </c>
      <c r="G56" s="140">
        <f>H56</f>
        <v>34.504429529427661</v>
      </c>
      <c r="H56" s="140">
        <f>F56/C56*100</f>
        <v>34.504429529427661</v>
      </c>
      <c r="I56" s="140">
        <f>E56-H56</f>
        <v>-34.159385234133381</v>
      </c>
      <c r="J56" s="52">
        <f>C56-F56</f>
        <v>3789784370</v>
      </c>
      <c r="K56" s="51">
        <f t="shared" si="9"/>
        <v>65.495570470572346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0.8800533029214862</v>
      </c>
      <c r="E57" s="108">
        <f>F57/C57*100%</f>
        <v>0.8800533029214862</v>
      </c>
      <c r="F57" s="107">
        <f>12811000+10988000+10857940+8474300+11962442+9826442+10322702+14165000+14047965+9530000+10934732+12511000+10906091</f>
        <v>147337614</v>
      </c>
      <c r="G57" s="111">
        <f>H57</f>
        <v>88.005330292148614</v>
      </c>
      <c r="H57" s="111">
        <f>F57/C57*100</f>
        <v>88.005330292148614</v>
      </c>
      <c r="I57" s="108">
        <f>E57-H57</f>
        <v>-87.125276989227132</v>
      </c>
      <c r="J57" s="122">
        <f>C57-F57</f>
        <v>20081352</v>
      </c>
      <c r="K57" s="123">
        <f t="shared" si="9"/>
        <v>11.994669707851379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7">E58</f>
        <v>0.28155745587484504</v>
      </c>
      <c r="E58" s="108">
        <f t="shared" ref="E58:E59" si="38">F58/C58*100%</f>
        <v>0.28155745587484504</v>
      </c>
      <c r="F58" s="107">
        <f>33568000+30000000+30398000+30595600+2574500+33881770+23178900+35846000+2755927+39272726+24875310+29952600</f>
        <v>316899333</v>
      </c>
      <c r="G58" s="111">
        <f t="shared" ref="G58:G59" si="39">H58</f>
        <v>28.155745587484503</v>
      </c>
      <c r="H58" s="111">
        <f t="shared" ref="H58:H59" si="40">F58/C58*100</f>
        <v>28.155745587484503</v>
      </c>
      <c r="I58" s="108">
        <f t="shared" ref="I58:I59" si="41">E58-H58</f>
        <v>-27.874188131609657</v>
      </c>
      <c r="J58" s="122">
        <f t="shared" ref="J58:J59" si="42">C58-F58</f>
        <v>808623456</v>
      </c>
      <c r="K58" s="123">
        <f t="shared" si="9"/>
        <v>71.844254412515497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7"/>
        <v>0.34101285999680142</v>
      </c>
      <c r="E59" s="108">
        <f t="shared" si="38"/>
        <v>0.34101285999680142</v>
      </c>
      <c r="F59" s="107">
        <f>47710000+42763636+28800000+56250000+33600000+93150000+12708191+2574500+13500000+37500000+34140000+40200000+44400000+19250000+48150000+44700000+2790000+63000000+38400000+17640000+18624000+21450000+45000000+40200000+28800000+44700000+26550000+29700000+63000000+33600000+38400000+93150000+129840000+13500000+47250000+17460000+47250000+34200000+38400000</f>
        <v>1532300327</v>
      </c>
      <c r="G59" s="111">
        <f t="shared" si="39"/>
        <v>34.101285999680144</v>
      </c>
      <c r="H59" s="111">
        <f t="shared" si="40"/>
        <v>34.101285999680144</v>
      </c>
      <c r="I59" s="108">
        <f t="shared" si="41"/>
        <v>-33.760273139683342</v>
      </c>
      <c r="J59" s="122">
        <f t="shared" si="42"/>
        <v>2961079562</v>
      </c>
      <c r="K59" s="123">
        <f t="shared" si="9"/>
        <v>65.898714000319856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3">F60</f>
        <v>0</v>
      </c>
      <c r="H60" s="109">
        <f t="shared" si="43"/>
        <v>0</v>
      </c>
      <c r="I60" s="109">
        <f t="shared" si="43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4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16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4"/>
        <v>0</v>
      </c>
      <c r="E62" s="108">
        <f t="shared" ref="E62:E63" si="45">F62/C62*100%</f>
        <v>0</v>
      </c>
      <c r="F62" s="107">
        <v>0</v>
      </c>
      <c r="G62" s="111">
        <f t="shared" ref="G62:G63" si="46">H62</f>
        <v>0</v>
      </c>
      <c r="H62" s="111">
        <f t="shared" ref="H62:H63" si="47">F62/C62*100</f>
        <v>0</v>
      </c>
      <c r="I62" s="108">
        <f t="shared" ref="I62:I63" si="48">E62-H62</f>
        <v>0</v>
      </c>
      <c r="J62" s="89">
        <f t="shared" si="3"/>
        <v>15600000</v>
      </c>
      <c r="K62" s="12">
        <f t="shared" si="9"/>
        <v>100</v>
      </c>
      <c r="L62" s="18"/>
    </row>
    <row r="63" spans="1:14" ht="19.149999999999999" customHeight="1">
      <c r="A63" s="18"/>
      <c r="B63" s="34" t="s">
        <v>70</v>
      </c>
      <c r="C63" s="120">
        <v>24109818</v>
      </c>
      <c r="D63" s="14">
        <f t="shared" si="44"/>
        <v>0</v>
      </c>
      <c r="E63" s="108">
        <f t="shared" si="45"/>
        <v>0</v>
      </c>
      <c r="F63" s="107">
        <v>0</v>
      </c>
      <c r="G63" s="111">
        <f t="shared" si="46"/>
        <v>0</v>
      </c>
      <c r="H63" s="111">
        <f t="shared" si="47"/>
        <v>0</v>
      </c>
      <c r="I63" s="108">
        <f t="shared" si="48"/>
        <v>0</v>
      </c>
      <c r="J63" s="89">
        <f t="shared" si="3"/>
        <v>24109818</v>
      </c>
      <c r="K63" s="12">
        <f t="shared" si="9"/>
        <v>100</v>
      </c>
      <c r="L63" s="18"/>
    </row>
    <row r="64" spans="1:14" ht="19.149999999999999" customHeight="1">
      <c r="A64" s="190" t="s">
        <v>82</v>
      </c>
      <c r="B64" s="76" t="s">
        <v>137</v>
      </c>
      <c r="C64" s="196">
        <f>C65</f>
        <v>1400000000</v>
      </c>
      <c r="D64" s="191">
        <f>D65</f>
        <v>0.18283892142857142</v>
      </c>
      <c r="E64" s="191">
        <f t="shared" ref="E64:L64" si="49">E65</f>
        <v>0.18283892142857142</v>
      </c>
      <c r="F64" s="191">
        <f t="shared" si="49"/>
        <v>255974490</v>
      </c>
      <c r="G64" s="191">
        <f t="shared" si="49"/>
        <v>18.283892142857141</v>
      </c>
      <c r="H64" s="191">
        <f t="shared" si="49"/>
        <v>18.283892142857141</v>
      </c>
      <c r="I64" s="191">
        <f t="shared" si="49"/>
        <v>18.283892142857141</v>
      </c>
      <c r="J64" s="191">
        <f t="shared" si="49"/>
        <v>1144025510</v>
      </c>
      <c r="K64" s="191">
        <f t="shared" si="49"/>
        <v>81.716107857142859</v>
      </c>
      <c r="L64" s="191">
        <f t="shared" si="49"/>
        <v>0</v>
      </c>
    </row>
    <row r="65" spans="1:12" ht="19.149999999999999" customHeight="1">
      <c r="A65" s="192" t="s">
        <v>93</v>
      </c>
      <c r="B65" s="29" t="s">
        <v>142</v>
      </c>
      <c r="C65" s="195">
        <f>C66+C67</f>
        <v>1400000000</v>
      </c>
      <c r="D65" s="38">
        <f>E65</f>
        <v>0.18283892142857142</v>
      </c>
      <c r="E65" s="109">
        <f>F65/C65*100%</f>
        <v>0.18283892142857142</v>
      </c>
      <c r="F65" s="109">
        <f>F66+F67</f>
        <v>255974490</v>
      </c>
      <c r="G65" s="197">
        <f>H65</f>
        <v>18.283892142857141</v>
      </c>
      <c r="H65" s="109">
        <f>F65/C65*100</f>
        <v>18.283892142857141</v>
      </c>
      <c r="I65" s="109">
        <f t="shared" ref="I65" si="50">H65</f>
        <v>18.283892142857141</v>
      </c>
      <c r="J65" s="52">
        <f t="shared" ref="J65:J67" si="51">C65-F65</f>
        <v>1144025510</v>
      </c>
      <c r="K65" s="51">
        <f t="shared" ref="K65:K67" si="52">J65/C65*100</f>
        <v>81.716107857142859</v>
      </c>
      <c r="L65" s="73"/>
    </row>
    <row r="66" spans="1:12" ht="36" customHeight="1">
      <c r="A66" s="189"/>
      <c r="B66" s="194" t="s">
        <v>143</v>
      </c>
      <c r="C66" s="188">
        <v>1040800750</v>
      </c>
      <c r="D66" s="14">
        <f t="shared" ref="D66:D67" si="53">E66</f>
        <v>0.15845250880151651</v>
      </c>
      <c r="E66" s="108">
        <f>F66/C66*100%</f>
        <v>0.15845250880151651</v>
      </c>
      <c r="F66" s="107">
        <f>13051100+14945000+44465000+11030000+25921860+13450000+21694530+20360000</f>
        <v>164917490</v>
      </c>
      <c r="G66" s="111">
        <f>H66</f>
        <v>15.845250880151651</v>
      </c>
      <c r="H66" s="111">
        <f>F66/C66*100</f>
        <v>15.845250880151651</v>
      </c>
      <c r="I66" s="108">
        <f>E66-H66</f>
        <v>-15.686798371350134</v>
      </c>
      <c r="J66" s="89">
        <f t="shared" si="51"/>
        <v>875883260</v>
      </c>
      <c r="K66" s="12">
        <f t="shared" si="52"/>
        <v>84.154749119848347</v>
      </c>
      <c r="L66" s="16"/>
    </row>
    <row r="67" spans="1:12" ht="19.149999999999999" customHeight="1">
      <c r="A67" s="189"/>
      <c r="B67" s="193" t="s">
        <v>144</v>
      </c>
      <c r="C67" s="188">
        <v>359199250</v>
      </c>
      <c r="D67" s="14">
        <f t="shared" si="53"/>
        <v>0.25349997250829448</v>
      </c>
      <c r="E67" s="108">
        <f t="shared" ref="E67" si="54">F67/C67*100%</f>
        <v>0.25349997250829448</v>
      </c>
      <c r="F67" s="107">
        <f>5420000+4462500+8045000+7118000+22365000+6710000+11151500+8220000+10150000+7415000</f>
        <v>91057000</v>
      </c>
      <c r="G67" s="111">
        <f t="shared" ref="G67" si="55">H67</f>
        <v>25.349997250829446</v>
      </c>
      <c r="H67" s="111">
        <f t="shared" ref="H67" si="56">F67/C67*100</f>
        <v>25.349997250829446</v>
      </c>
      <c r="I67" s="108">
        <f t="shared" ref="I67" si="57">E67-H67</f>
        <v>-25.096497278321152</v>
      </c>
      <c r="J67" s="89">
        <f t="shared" si="51"/>
        <v>268142250</v>
      </c>
      <c r="K67" s="12">
        <f t="shared" si="52"/>
        <v>74.650002749170554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0.14190419484351247</v>
      </c>
      <c r="E68" s="79">
        <f>F68/C68*100%</f>
        <v>0.14190419484351247</v>
      </c>
      <c r="F68" s="80">
        <f>F69</f>
        <v>42660800</v>
      </c>
      <c r="G68" s="80">
        <f t="shared" ref="G68:I68" si="58">G69</f>
        <v>14.190419484351246</v>
      </c>
      <c r="H68" s="80">
        <f t="shared" si="58"/>
        <v>14.190419484351246</v>
      </c>
      <c r="I68" s="80">
        <f t="shared" si="58"/>
        <v>-62.307631170283635</v>
      </c>
      <c r="J68" s="59">
        <f t="shared" si="3"/>
        <v>257970200</v>
      </c>
      <c r="K68" s="58">
        <f t="shared" si="9"/>
        <v>85.809580515648747</v>
      </c>
      <c r="L68" s="82"/>
    </row>
    <row r="69" spans="1:12" ht="37.15" customHeight="1">
      <c r="A69" s="70" t="s">
        <v>139</v>
      </c>
      <c r="B69" s="119" t="s">
        <v>71</v>
      </c>
      <c r="C69" s="84">
        <f>SUM(C70:C72)</f>
        <v>300631000</v>
      </c>
      <c r="D69" s="114">
        <f>E69</f>
        <v>0.14190419484351247</v>
      </c>
      <c r="E69" s="114">
        <f>F69/C69*100%</f>
        <v>0.14190419484351247</v>
      </c>
      <c r="F69" s="114">
        <f>SUM(F70:F72)</f>
        <v>42660800</v>
      </c>
      <c r="G69" s="114">
        <f>H69</f>
        <v>14.190419484351246</v>
      </c>
      <c r="H69" s="114">
        <f>F69/C69*100</f>
        <v>14.190419484351246</v>
      </c>
      <c r="I69" s="114">
        <f t="shared" ref="I69" si="59">SUM(I70:I72)</f>
        <v>-62.307631170283635</v>
      </c>
      <c r="J69" s="52">
        <f t="shared" si="3"/>
        <v>257970200</v>
      </c>
      <c r="K69" s="51">
        <f t="shared" si="9"/>
        <v>85.809580515648747</v>
      </c>
      <c r="L69" s="83"/>
    </row>
    <row r="70" spans="1:12" ht="76.150000000000006" customHeight="1">
      <c r="A70" s="43"/>
      <c r="B70" s="64" t="s">
        <v>52</v>
      </c>
      <c r="C70" s="26">
        <v>99126000</v>
      </c>
      <c r="D70" s="14">
        <f t="shared" ref="D70:D72" si="60">E70</f>
        <v>0</v>
      </c>
      <c r="E70" s="108">
        <f>F70/C70*100%</f>
        <v>0</v>
      </c>
      <c r="F70" s="115">
        <v>0</v>
      </c>
      <c r="G70" s="116">
        <f>H70</f>
        <v>0</v>
      </c>
      <c r="H70" s="116">
        <f>F70/C70*100</f>
        <v>0</v>
      </c>
      <c r="I70" s="108">
        <f>E70-H70</f>
        <v>0</v>
      </c>
      <c r="J70" s="89">
        <f t="shared" si="3"/>
        <v>99126000</v>
      </c>
      <c r="K70" s="12">
        <f t="shared" si="9"/>
        <v>100</v>
      </c>
      <c r="L70" s="19"/>
    </row>
    <row r="71" spans="1:12" ht="48" customHeight="1">
      <c r="A71" s="41"/>
      <c r="B71" s="64" t="s">
        <v>53</v>
      </c>
      <c r="C71" s="26">
        <v>163575000</v>
      </c>
      <c r="D71" s="14">
        <f t="shared" si="60"/>
        <v>0.14953874369555251</v>
      </c>
      <c r="E71" s="108">
        <f t="shared" ref="E71:E72" si="61">F71/C71*100%</f>
        <v>0.14953874369555251</v>
      </c>
      <c r="F71" s="115">
        <f>24460800</f>
        <v>24460800</v>
      </c>
      <c r="G71" s="116">
        <f t="shared" ref="G71:G72" si="62">H71</f>
        <v>14.953874369555251</v>
      </c>
      <c r="H71" s="116">
        <f t="shared" ref="H71:H72" si="63">F71/C71*100</f>
        <v>14.953874369555251</v>
      </c>
      <c r="I71" s="108">
        <f t="shared" ref="I71:I72" si="64">E71-H71</f>
        <v>-14.804335625859698</v>
      </c>
      <c r="J71" s="89">
        <f t="shared" si="3"/>
        <v>139114200</v>
      </c>
      <c r="K71" s="12">
        <f t="shared" si="9"/>
        <v>85.046125630444749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60"/>
        <v>0.47983126812549431</v>
      </c>
      <c r="E72" s="108">
        <f t="shared" si="61"/>
        <v>0.47983126812549431</v>
      </c>
      <c r="F72" s="115">
        <f>9100000+9100000</f>
        <v>18200000</v>
      </c>
      <c r="G72" s="116">
        <f t="shared" si="62"/>
        <v>47.983126812549429</v>
      </c>
      <c r="H72" s="116">
        <f t="shared" si="63"/>
        <v>47.983126812549429</v>
      </c>
      <c r="I72" s="108">
        <f t="shared" si="64"/>
        <v>-47.503295544423935</v>
      </c>
      <c r="J72" s="125">
        <f t="shared" si="3"/>
        <v>19730000</v>
      </c>
      <c r="K72" s="7">
        <f t="shared" si="9"/>
        <v>52.016873187450564</v>
      </c>
      <c r="L72" s="19"/>
    </row>
    <row r="73" spans="1:12">
      <c r="G73" s="117"/>
      <c r="H73" s="117"/>
    </row>
    <row r="74" spans="1:12">
      <c r="G74" s="117"/>
      <c r="H74" s="117"/>
      <c r="I74" s="232" t="s">
        <v>149</v>
      </c>
      <c r="J74" s="232"/>
      <c r="K74" s="232"/>
    </row>
    <row r="75" spans="1:12">
      <c r="G75" s="117"/>
      <c r="H75" s="117"/>
    </row>
    <row r="76" spans="1:12">
      <c r="G76" s="117"/>
      <c r="H76" s="117"/>
      <c r="I76" s="232" t="s">
        <v>145</v>
      </c>
      <c r="J76" s="232"/>
      <c r="K76" s="232"/>
    </row>
    <row r="77" spans="1:12">
      <c r="G77" s="117"/>
      <c r="H77" s="117"/>
      <c r="I77" s="232" t="s">
        <v>146</v>
      </c>
      <c r="J77" s="232"/>
      <c r="K77" s="232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  <c r="I81" s="231" t="s">
        <v>147</v>
      </c>
      <c r="J81" s="231"/>
      <c r="K81" s="231"/>
    </row>
    <row r="82" spans="1:14">
      <c r="G82" s="117"/>
      <c r="H82" s="117"/>
      <c r="I82" s="232" t="s">
        <v>148</v>
      </c>
      <c r="J82" s="232"/>
      <c r="K82" s="232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8">
    <mergeCell ref="D8:E8"/>
    <mergeCell ref="F8:H8"/>
    <mergeCell ref="A12:B12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  <mergeCell ref="I74:K74"/>
    <mergeCell ref="I76:K76"/>
    <mergeCell ref="I77:K77"/>
    <mergeCell ref="I81:K81"/>
    <mergeCell ref="I82:K8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300" r:id="rId1"/>
  <rowBreaks count="1" manualBreakCount="1">
    <brk id="39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topLeftCell="A57" zoomScale="80" zoomScaleSheetLayoutView="80" workbookViewId="0">
      <selection activeCell="F70" sqref="F70:F72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134</v>
      </c>
      <c r="N5" s="44"/>
    </row>
    <row r="6" spans="1:14">
      <c r="A6" s="4"/>
      <c r="C6" s="22"/>
      <c r="J6" s="3" t="s">
        <v>3</v>
      </c>
      <c r="K6" s="3" t="s">
        <v>136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187" t="s">
        <v>8</v>
      </c>
      <c r="C10" s="129">
        <f>C11</f>
        <v>21589005295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187" t="s">
        <v>9</v>
      </c>
      <c r="C11" s="129">
        <f>C12</f>
        <v>21589005295</v>
      </c>
      <c r="D11" s="94">
        <f t="shared" ref="D11:I11" si="0">D12</f>
        <v>0.28856893506079434</v>
      </c>
      <c r="E11" s="94">
        <f t="shared" si="0"/>
        <v>0.28856893506079434</v>
      </c>
      <c r="F11" s="94">
        <f t="shared" si="0"/>
        <v>6229916267</v>
      </c>
      <c r="G11" s="94">
        <f t="shared" si="0"/>
        <v>28.856893506079434</v>
      </c>
      <c r="H11" s="94">
        <f t="shared" si="0"/>
        <v>28.856893506079434</v>
      </c>
      <c r="I11" s="94">
        <f t="shared" si="0"/>
        <v>28.568324571018639</v>
      </c>
      <c r="J11" s="6">
        <f>C11-F11</f>
        <v>15359089028</v>
      </c>
      <c r="K11" s="6">
        <f>J11/C11*100</f>
        <v>71.14310649392057</v>
      </c>
      <c r="L11" s="9"/>
      <c r="N11" s="1"/>
    </row>
    <row r="12" spans="1:14" ht="25.15" customHeight="1">
      <c r="A12" s="236" t="s">
        <v>66</v>
      </c>
      <c r="B12" s="237"/>
      <c r="C12" s="127">
        <f>C13+C49+C55+C64+C68</f>
        <v>21589005295</v>
      </c>
      <c r="D12" s="126">
        <f>E12</f>
        <v>0.28856893506079434</v>
      </c>
      <c r="E12" s="126">
        <f>F12/C12*100%</f>
        <v>0.28856893506079434</v>
      </c>
      <c r="F12" s="126">
        <f>F13+F68+F49+F55+F64</f>
        <v>6229916267</v>
      </c>
      <c r="G12" s="126">
        <f>H12</f>
        <v>28.856893506079434</v>
      </c>
      <c r="H12" s="126">
        <f>F12/C12*100</f>
        <v>28.856893506079434</v>
      </c>
      <c r="I12" s="126">
        <f>H12-E12</f>
        <v>28.568324571018639</v>
      </c>
      <c r="J12" s="126">
        <f>J13+J68+J49+J55+J64</f>
        <v>15359089028</v>
      </c>
      <c r="K12" s="146">
        <f>J12/C12*100</f>
        <v>71.14310649392057</v>
      </c>
      <c r="L12" s="128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0.35784606836969429</v>
      </c>
      <c r="E13" s="57">
        <f>F13/C13*100%</f>
        <v>0.35784606836969429</v>
      </c>
      <c r="F13" s="57">
        <f t="shared" si="1"/>
        <v>4947207503</v>
      </c>
      <c r="G13" s="57">
        <f>H13</f>
        <v>35.784606836969431</v>
      </c>
      <c r="H13" s="57">
        <f>F13/C13*100</f>
        <v>35.784606836969431</v>
      </c>
      <c r="I13" s="57">
        <f>H13-E13</f>
        <v>35.426760768599735</v>
      </c>
      <c r="J13" s="59">
        <f>C13-F13</f>
        <v>8877752278</v>
      </c>
      <c r="K13" s="58">
        <f>J13/C13*100</f>
        <v>64.215393163030569</v>
      </c>
      <c r="L13" s="58">
        <f>L14+L21+L25+L27+L36+L39+L43</f>
        <v>0</v>
      </c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H14" si="2">SUM(C15:C20)</f>
        <v>140773000</v>
      </c>
      <c r="D14" s="38">
        <f t="shared" si="2"/>
        <v>72.062027606057285</v>
      </c>
      <c r="E14" s="38">
        <f t="shared" si="2"/>
        <v>72.062027606057285</v>
      </c>
      <c r="F14" s="36">
        <f t="shared" si="2"/>
        <v>27775000</v>
      </c>
      <c r="G14" s="90">
        <f t="shared" si="2"/>
        <v>101.10071978940191</v>
      </c>
      <c r="H14" s="90">
        <f t="shared" si="2"/>
        <v>101.10071978940191</v>
      </c>
      <c r="I14" s="99">
        <f>E14-H14</f>
        <v>-29.038692183344622</v>
      </c>
      <c r="J14" s="52">
        <f>C14-F14</f>
        <v>112998000</v>
      </c>
      <c r="K14" s="51">
        <f>J14/C14*100</f>
        <v>80.269653981942554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0.29332012306408717</v>
      </c>
      <c r="E15" s="11">
        <f>F15/C15*100%</f>
        <v>0.29332012306408717</v>
      </c>
      <c r="F15" s="100">
        <f>4500000+4500000+4500000+4500000+4500000</f>
        <v>22500000</v>
      </c>
      <c r="G15" s="101">
        <f>H15</f>
        <v>29.332012306408718</v>
      </c>
      <c r="H15" s="101">
        <f>F15/C15*100</f>
        <v>29.332012306408718</v>
      </c>
      <c r="I15" s="102">
        <f>H15-E15</f>
        <v>29.038692183344629</v>
      </c>
      <c r="J15" s="89">
        <f t="shared" ref="J15:J72" si="3">C15-F15</f>
        <v>54208000</v>
      </c>
      <c r="K15" s="12">
        <f>J15/C15*100</f>
        <v>70.667987693591286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72" si="9">J16/C16*100</f>
        <v>100</v>
      </c>
      <c r="L16" s="13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13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71.768707482993193</v>
      </c>
      <c r="E18" s="11">
        <f t="shared" si="5"/>
        <v>71.768707482993193</v>
      </c>
      <c r="F18" s="100">
        <v>5275000</v>
      </c>
      <c r="G18" s="101">
        <f t="shared" si="6"/>
        <v>71.768707482993193</v>
      </c>
      <c r="H18" s="101">
        <f t="shared" si="7"/>
        <v>71.768707482993193</v>
      </c>
      <c r="I18" s="102">
        <f t="shared" si="8"/>
        <v>0</v>
      </c>
      <c r="J18" s="89">
        <f t="shared" si="3"/>
        <v>2075000</v>
      </c>
      <c r="K18" s="12">
        <f t="shared" si="9"/>
        <v>28.2312925170068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13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13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0.62837585196557644</v>
      </c>
      <c r="E21" s="38">
        <f>SUM(E22:E24)</f>
        <v>0.62837585196557644</v>
      </c>
      <c r="F21" s="36">
        <f>SUM(F22:F24)</f>
        <v>3946089600</v>
      </c>
      <c r="G21" s="90">
        <f t="shared" si="6"/>
        <v>62.837585196557647</v>
      </c>
      <c r="H21" s="90">
        <f>SUM(H22:H24)</f>
        <v>62.837585196557647</v>
      </c>
      <c r="I21" s="99">
        <f>E21-H21</f>
        <v>-62.209209344592068</v>
      </c>
      <c r="J21" s="52">
        <f t="shared" si="3"/>
        <v>6635197662</v>
      </c>
      <c r="K21" s="51">
        <f t="shared" si="9"/>
        <v>62.706904157385694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0.37383039742012197</v>
      </c>
      <c r="E22" s="85">
        <f>F22/C22*100%</f>
        <v>0.37383039742012197</v>
      </c>
      <c r="F22" s="103">
        <f>586844600+275805000+987621900+615632300+876761900+5170800+589503100</f>
        <v>3937339600</v>
      </c>
      <c r="G22" s="104">
        <f>H22</f>
        <v>37.383039742012194</v>
      </c>
      <c r="H22" s="104">
        <f>F22/C22*100</f>
        <v>37.383039742012194</v>
      </c>
      <c r="I22" s="105">
        <f>E22-H22</f>
        <v>-37.009209344592072</v>
      </c>
      <c r="J22" s="89">
        <f t="shared" si="3"/>
        <v>6595082662</v>
      </c>
      <c r="K22" s="12">
        <f t="shared" si="9"/>
        <v>62.616960257987806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13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0.25454545454545452</v>
      </c>
      <c r="E24" s="85">
        <f t="shared" si="11"/>
        <v>0.25454545454545452</v>
      </c>
      <c r="F24" s="103">
        <f>1750000+1750000+1750000+1750000+1750000</f>
        <v>8750000</v>
      </c>
      <c r="G24" s="104">
        <f t="shared" si="12"/>
        <v>25.454545454545453</v>
      </c>
      <c r="H24" s="104">
        <f t="shared" si="13"/>
        <v>25.454545454545453</v>
      </c>
      <c r="I24" s="105">
        <f t="shared" si="14"/>
        <v>-25.2</v>
      </c>
      <c r="J24" s="89">
        <f t="shared" si="3"/>
        <v>25625000</v>
      </c>
      <c r="K24" s="12">
        <f t="shared" si="9"/>
        <v>74.545454545454547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</v>
      </c>
      <c r="E25" s="38">
        <f>E26</f>
        <v>0</v>
      </c>
      <c r="F25" s="36">
        <f>F26</f>
        <v>7500000</v>
      </c>
      <c r="G25" s="90">
        <f>H25</f>
        <v>33.303730017761993</v>
      </c>
      <c r="H25" s="90">
        <f>SUM(H26)</f>
        <v>33.303730017761993</v>
      </c>
      <c r="I25" s="99">
        <f>E25-H25</f>
        <v>-33.303730017761993</v>
      </c>
      <c r="J25" s="52">
        <f t="shared" si="3"/>
        <v>15020000</v>
      </c>
      <c r="K25" s="51">
        <f t="shared" si="9"/>
        <v>66.696269982238007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1">
        <f>E26</f>
        <v>0</v>
      </c>
      <c r="E26" s="11">
        <v>0</v>
      </c>
      <c r="F26" s="134">
        <f>1500000+1500000+1500000+1500000+1500000</f>
        <v>7500000</v>
      </c>
      <c r="G26" s="101">
        <f>H26</f>
        <v>33.303730017761993</v>
      </c>
      <c r="H26" s="101">
        <f>F26/C26*100</f>
        <v>33.303730017761993</v>
      </c>
      <c r="I26" s="102">
        <f>E26-H26</f>
        <v>-33.303730017761993</v>
      </c>
      <c r="J26" s="89">
        <f t="shared" si="3"/>
        <v>15020000</v>
      </c>
      <c r="K26" s="12">
        <f t="shared" si="9"/>
        <v>66.696269982238007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SUM(D28:D35)</f>
        <v>2.9769452464444157</v>
      </c>
      <c r="E27" s="38">
        <f>SUM(E28:E35)</f>
        <v>2.9769452464444157</v>
      </c>
      <c r="F27" s="36">
        <f>SUM(F28:F35)</f>
        <v>314314670</v>
      </c>
      <c r="G27" s="90">
        <f t="shared" ref="G27:G35" si="15">H27</f>
        <v>297.69452464444157</v>
      </c>
      <c r="H27" s="90">
        <f>SUM(H28:H35)</f>
        <v>297.69452464444157</v>
      </c>
      <c r="I27" s="99">
        <f>E27-H27</f>
        <v>-294.71757939799716</v>
      </c>
      <c r="J27" s="52">
        <f t="shared" si="3"/>
        <v>521077116</v>
      </c>
      <c r="K27" s="51">
        <f t="shared" si="9"/>
        <v>62.375178297479692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0.38455084138490281</v>
      </c>
      <c r="E28" s="14">
        <f>F28/C28*100%</f>
        <v>0.38455084138490281</v>
      </c>
      <c r="F28" s="106">
        <f>1069000+1205800+1785479+739000+271391+2626970+820000+1869081+805000+1842800+935200+1600000</f>
        <v>15569721</v>
      </c>
      <c r="G28" s="101">
        <f t="shared" si="15"/>
        <v>38.455084138490278</v>
      </c>
      <c r="H28" s="101">
        <f t="shared" ref="H28:H35" si="16">F28/C28*100</f>
        <v>38.455084138490278</v>
      </c>
      <c r="I28" s="102">
        <f>E28-H28</f>
        <v>-38.070533297105378</v>
      </c>
      <c r="J28" s="89">
        <f t="shared" si="3"/>
        <v>24918348</v>
      </c>
      <c r="K28" s="12">
        <f t="shared" si="9"/>
        <v>61.544915861509722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0.64028800791696827</v>
      </c>
      <c r="E29" s="14">
        <f t="shared" ref="E29:E35" si="18">F29/C29*100%</f>
        <v>0.64028800791696827</v>
      </c>
      <c r="F29" s="106">
        <f>48249723+4577000+5601100+4619985+2222000+870288+2844992+7535999+2390000+7589822+2380000+4229300+2645000+3055600+5742325</f>
        <v>104553134</v>
      </c>
      <c r="G29" s="101">
        <f t="shared" si="15"/>
        <v>64.028800791696824</v>
      </c>
      <c r="H29" s="101">
        <f t="shared" si="16"/>
        <v>64.028800791696824</v>
      </c>
      <c r="I29" s="102">
        <f t="shared" ref="I29:I35" si="19">E29-H29</f>
        <v>-63.388512783779859</v>
      </c>
      <c r="J29" s="89">
        <f t="shared" si="3"/>
        <v>58737655</v>
      </c>
      <c r="K29" s="12">
        <f t="shared" si="9"/>
        <v>35.971199208303176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0.27845783671886709</v>
      </c>
      <c r="E30" s="14">
        <f t="shared" si="18"/>
        <v>0.27845783671886709</v>
      </c>
      <c r="F30" s="106">
        <f>3112000+3567351+707283+2239604+918922+2738000+2796490+2082000+1092000+4000000</f>
        <v>23253650</v>
      </c>
      <c r="G30" s="101">
        <f t="shared" si="15"/>
        <v>27.845783671886711</v>
      </c>
      <c r="H30" s="101">
        <f t="shared" si="16"/>
        <v>27.845783671886711</v>
      </c>
      <c r="I30" s="102">
        <f t="shared" si="19"/>
        <v>-27.567325835167843</v>
      </c>
      <c r="J30" s="89">
        <f t="shared" si="3"/>
        <v>60255043</v>
      </c>
      <c r="K30" s="12">
        <f t="shared" si="9"/>
        <v>72.154216328113279</v>
      </c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0.33649793748937429</v>
      </c>
      <c r="E31" s="14">
        <f t="shared" si="18"/>
        <v>0.33649793748937429</v>
      </c>
      <c r="F31" s="106">
        <f>7680000+2560000+3200000+1600000+1200000+1500000+1900000+2496000+1200000+11200000+570000+2500000</f>
        <v>37606000</v>
      </c>
      <c r="G31" s="101">
        <f t="shared" si="15"/>
        <v>33.649793748937427</v>
      </c>
      <c r="H31" s="101">
        <f t="shared" si="16"/>
        <v>33.649793748937427</v>
      </c>
      <c r="I31" s="102">
        <f t="shared" si="19"/>
        <v>-33.31329581144805</v>
      </c>
      <c r="J31" s="89">
        <f t="shared" si="3"/>
        <v>74151000</v>
      </c>
      <c r="K31" s="12">
        <f t="shared" si="9"/>
        <v>66.350206251062573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0.37381156461348547</v>
      </c>
      <c r="E32" s="14">
        <f t="shared" si="18"/>
        <v>0.37381156461348547</v>
      </c>
      <c r="F32" s="106">
        <f>2135000+1500000+3429552+2344658+3160791+1100000+4966880+1100000+2005050+6997240+900000+4500000</f>
        <v>34139171</v>
      </c>
      <c r="G32" s="101">
        <f t="shared" si="15"/>
        <v>37.381156461348546</v>
      </c>
      <c r="H32" s="101">
        <f t="shared" si="16"/>
        <v>37.381156461348546</v>
      </c>
      <c r="I32" s="102">
        <f t="shared" si="19"/>
        <v>-37.007344896735063</v>
      </c>
      <c r="J32" s="89">
        <f t="shared" si="3"/>
        <v>57188049</v>
      </c>
      <c r="K32" s="12">
        <f t="shared" si="9"/>
        <v>62.618843538651461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0.24526602536951866</v>
      </c>
      <c r="E33" s="14">
        <f t="shared" si="18"/>
        <v>0.24526602536951866</v>
      </c>
      <c r="F33" s="106">
        <f>750000+4453000+927150+834435+1200000+661367+244000+915000+300000+1743042+2000000</f>
        <v>14027994</v>
      </c>
      <c r="G33" s="101">
        <f t="shared" si="15"/>
        <v>24.526602536951867</v>
      </c>
      <c r="H33" s="101">
        <f t="shared" si="16"/>
        <v>24.526602536951867</v>
      </c>
      <c r="I33" s="102">
        <f t="shared" si="19"/>
        <v>-24.281336511582349</v>
      </c>
      <c r="J33" s="89">
        <f t="shared" si="3"/>
        <v>43167021</v>
      </c>
      <c r="K33" s="12">
        <f t="shared" si="9"/>
        <v>75.47339746304813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0.60998142989786441</v>
      </c>
      <c r="E34" s="14">
        <f t="shared" si="18"/>
        <v>0.60998142989786441</v>
      </c>
      <c r="F34" s="106">
        <f>7500000+5000000+5000000+5000000+1125000+2500000+2500000+1000000+2500000+25000000+5000000+570000+3000000</f>
        <v>65695000</v>
      </c>
      <c r="G34" s="101">
        <f t="shared" si="15"/>
        <v>60.998142989786444</v>
      </c>
      <c r="H34" s="101">
        <f t="shared" si="16"/>
        <v>60.998142989786444</v>
      </c>
      <c r="I34" s="102">
        <f t="shared" si="19"/>
        <v>-60.38816155988858</v>
      </c>
      <c r="J34" s="89">
        <f t="shared" si="3"/>
        <v>42005000</v>
      </c>
      <c r="K34" s="12">
        <f t="shared" si="9"/>
        <v>39.001857010213556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0.10809160305343511</v>
      </c>
      <c r="E35" s="14">
        <f t="shared" si="18"/>
        <v>0.10809160305343511</v>
      </c>
      <c r="F35" s="106">
        <f>1800000+1000000+2770000+600000+2000000+2000000+1900000+3750000+1000000+1500000+550000+600000</f>
        <v>19470000</v>
      </c>
      <c r="G35" s="101">
        <f t="shared" si="15"/>
        <v>10.809160305343511</v>
      </c>
      <c r="H35" s="101">
        <f t="shared" si="16"/>
        <v>10.809160305343511</v>
      </c>
      <c r="I35" s="102">
        <f t="shared" si="19"/>
        <v>-10.701068702290076</v>
      </c>
      <c r="J35" s="89">
        <f t="shared" si="3"/>
        <v>160655000</v>
      </c>
      <c r="K35" s="12">
        <f t="shared" si="9"/>
        <v>89.190839694656489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 t="shared" ref="D36:I36" si="20">SUM(D38:D38)</f>
        <v>0</v>
      </c>
      <c r="E36" s="38">
        <f t="shared" si="20"/>
        <v>0</v>
      </c>
      <c r="F36" s="36">
        <f t="shared" si="20"/>
        <v>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52">
        <f t="shared" si="3"/>
        <v>135067517</v>
      </c>
      <c r="K36" s="51">
        <f t="shared" si="9"/>
        <v>100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4.9382716049382713E-2</v>
      </c>
      <c r="E37" s="133">
        <f>F37/C37*100%</f>
        <v>4.9382716049382713E-2</v>
      </c>
      <c r="F37" s="134">
        <v>4000000</v>
      </c>
      <c r="G37" s="134">
        <f>H37</f>
        <v>4.9382716049382713</v>
      </c>
      <c r="H37" s="134">
        <f>F37/C37*100</f>
        <v>4.9382716049382713</v>
      </c>
      <c r="I37" s="134">
        <f>E37-H37</f>
        <v>-4.8888888888888884</v>
      </c>
      <c r="J37" s="122">
        <f>C37-F37</f>
        <v>77000000</v>
      </c>
      <c r="K37" s="123">
        <f>J37/C37*100</f>
        <v>95.061728395061735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9.5066057889930236E-2</v>
      </c>
      <c r="E39" s="38">
        <f>SUM(E40:E42)</f>
        <v>0.84916229103637075</v>
      </c>
      <c r="F39" s="36">
        <f>SUM(F40:F42)</f>
        <v>490580233</v>
      </c>
      <c r="G39" s="90">
        <f t="shared" ref="G39:G42" si="21">H39</f>
        <v>84.916229103637079</v>
      </c>
      <c r="H39" s="90">
        <f>SUM(H40:H42)</f>
        <v>84.916229103637079</v>
      </c>
      <c r="I39" s="99">
        <f>E39-H39</f>
        <v>-84.067066812600714</v>
      </c>
      <c r="J39" s="52">
        <f t="shared" si="3"/>
        <v>1114111983</v>
      </c>
      <c r="K39" s="51">
        <f t="shared" si="9"/>
        <v>69.428390808620961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v>0</v>
      </c>
      <c r="E40" s="14">
        <f>F40/C40*100%</f>
        <v>0.3409811614687962</v>
      </c>
      <c r="F40" s="106">
        <f>2000000+1782011+882698+750000+500000+300000+500000+300000+1250000+1250000+2400000+300000+1200000</f>
        <v>13414709</v>
      </c>
      <c r="G40" s="104">
        <f t="shared" si="21"/>
        <v>34.098116146879619</v>
      </c>
      <c r="H40" s="104">
        <f t="shared" ref="H40:H42" si="22">F40/C40*100</f>
        <v>34.098116146879619</v>
      </c>
      <c r="I40" s="105">
        <f t="shared" ref="I40:I42" si="23">E40-H40</f>
        <v>-33.757134985410822</v>
      </c>
      <c r="J40" s="89">
        <f t="shared" si="3"/>
        <v>25926787</v>
      </c>
      <c r="K40" s="12">
        <f t="shared" si="9"/>
        <v>65.901883853120381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" si="24">E41</f>
        <v>9.5066057889930236E-2</v>
      </c>
      <c r="E41" s="14">
        <f t="shared" ref="E41:E42" si="25">F41/C41*100%</f>
        <v>9.5066057889930236E-2</v>
      </c>
      <c r="F41" s="106">
        <f>6786602+3106436+2575000+1023850+2000000+632698+1200000+2047000+3000000+4008704+5000000+5000000+1500000+2700365+84869+5000000+5000000</f>
        <v>50665524</v>
      </c>
      <c r="G41" s="104">
        <f t="shared" si="21"/>
        <v>9.5066057889930242</v>
      </c>
      <c r="H41" s="104">
        <f t="shared" si="22"/>
        <v>9.5066057889930242</v>
      </c>
      <c r="I41" s="105">
        <f t="shared" si="23"/>
        <v>-9.4115397311030939</v>
      </c>
      <c r="J41" s="89">
        <f t="shared" si="3"/>
        <v>482285196</v>
      </c>
      <c r="K41" s="12">
        <f t="shared" si="9"/>
        <v>90.493394211006972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v>0</v>
      </c>
      <c r="E42" s="14">
        <f t="shared" si="25"/>
        <v>0.41311507167764433</v>
      </c>
      <c r="F42" s="106">
        <f>6200000+6200000+6200000+6200000+234000000+2710000+78000000+2790000+6200000+78000000</f>
        <v>426500000</v>
      </c>
      <c r="G42" s="104">
        <f t="shared" si="21"/>
        <v>41.311507167764432</v>
      </c>
      <c r="H42" s="104">
        <f t="shared" si="22"/>
        <v>41.311507167764432</v>
      </c>
      <c r="I42" s="105">
        <f t="shared" si="23"/>
        <v>-40.898392096086788</v>
      </c>
      <c r="J42" s="89">
        <f t="shared" si="3"/>
        <v>605900000</v>
      </c>
      <c r="K42" s="12">
        <f t="shared" si="9"/>
        <v>58.688492832235575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SUM(D44:D47)</f>
        <v>0.99251794230946311</v>
      </c>
      <c r="E43" s="39">
        <f>SUM(E44:E47)</f>
        <v>0.99251794230946311</v>
      </c>
      <c r="F43" s="37">
        <f>SUM(F44:F48)</f>
        <v>160948000</v>
      </c>
      <c r="G43" s="91">
        <f>SUM(G44:G61)</f>
        <v>656.86147600002982</v>
      </c>
      <c r="H43" s="91">
        <f>SUM(H44:H61)</f>
        <v>656.86147600002982</v>
      </c>
      <c r="I43" s="91">
        <f>E43-H43</f>
        <v>-655.86895805772031</v>
      </c>
      <c r="J43" s="52">
        <f t="shared" si="3"/>
        <v>344280000</v>
      </c>
      <c r="K43" s="51">
        <f t="shared" si="9"/>
        <v>68.14349165129407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0.39264129961804378</v>
      </c>
      <c r="E44" s="14">
        <f>F44/C44*100%</f>
        <v>0.39264129961804378</v>
      </c>
      <c r="F44" s="107">
        <f>3920000+560000+5000000+4000000+1750000+1920000+2600000+2885000+520000+4100000+4375000+5000000+22070000+12960000+1150000+7300000+1100000</f>
        <v>81210000</v>
      </c>
      <c r="G44" s="104">
        <f t="shared" ref="G44:G48" si="26">H44</f>
        <v>39.264129961804379</v>
      </c>
      <c r="H44" s="104">
        <f t="shared" ref="H44:H48" si="27">F44/C44*100</f>
        <v>39.264129961804379</v>
      </c>
      <c r="I44" s="118">
        <f t="shared" ref="I44:I47" si="28">E44-H44</f>
        <v>-38.871488662186337</v>
      </c>
      <c r="J44" s="89">
        <f t="shared" si="3"/>
        <v>125620000</v>
      </c>
      <c r="K44" s="12">
        <f t="shared" si="9"/>
        <v>60.735870038195614</v>
      </c>
      <c r="L44" s="16"/>
    </row>
    <row r="45" spans="1:14" ht="37.15" customHeight="1">
      <c r="A45" s="15"/>
      <c r="B45" s="136" t="s">
        <v>73</v>
      </c>
      <c r="C45" s="24">
        <v>9240000</v>
      </c>
      <c r="D45" s="14">
        <f t="shared" ref="D45:D48" si="29">E45</f>
        <v>0</v>
      </c>
      <c r="E45" s="14">
        <f t="shared" ref="E45:E48" si="30">F45/C45*100%</f>
        <v>0</v>
      </c>
      <c r="F45" s="107">
        <v>0</v>
      </c>
      <c r="G45" s="104">
        <f t="shared" si="26"/>
        <v>0</v>
      </c>
      <c r="H45" s="104">
        <f t="shared" si="27"/>
        <v>0</v>
      </c>
      <c r="I45" s="118">
        <f t="shared" si="28"/>
        <v>0</v>
      </c>
      <c r="J45" s="89">
        <f t="shared" si="3"/>
        <v>9240000</v>
      </c>
      <c r="K45" s="12">
        <f t="shared" si="9"/>
        <v>100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0.3108346642010591</v>
      </c>
      <c r="E46" s="14">
        <f t="shared" si="30"/>
        <v>0.3108346642010591</v>
      </c>
      <c r="F46" s="107">
        <f>2640000+550000+6070000+1000000+1050000+4060000+730000+5830000+1540000+1460000+4130000+700000+4000000+3220000</f>
        <v>36980000</v>
      </c>
      <c r="G46" s="104">
        <f t="shared" si="26"/>
        <v>31.083466420105911</v>
      </c>
      <c r="H46" s="104">
        <f t="shared" si="27"/>
        <v>31.083466420105911</v>
      </c>
      <c r="I46" s="105">
        <f t="shared" si="28"/>
        <v>-30.77263175590485</v>
      </c>
      <c r="J46" s="89">
        <f t="shared" si="3"/>
        <v>81990000</v>
      </c>
      <c r="K46" s="12">
        <f t="shared" si="9"/>
        <v>68.916533579894093</v>
      </c>
      <c r="L46" s="16"/>
    </row>
    <row r="47" spans="1:14" ht="19.149999999999999" customHeight="1">
      <c r="A47" s="15"/>
      <c r="B47" s="63" t="s">
        <v>42</v>
      </c>
      <c r="C47" s="24">
        <v>80708000</v>
      </c>
      <c r="D47" s="14">
        <f t="shared" si="29"/>
        <v>0.28904197849036029</v>
      </c>
      <c r="E47" s="14">
        <f t="shared" si="30"/>
        <v>0.28904197849036029</v>
      </c>
      <c r="F47" s="107">
        <v>23328000</v>
      </c>
      <c r="G47" s="104">
        <f t="shared" si="26"/>
        <v>28.904197849036027</v>
      </c>
      <c r="H47" s="104">
        <f t="shared" si="27"/>
        <v>28.904197849036027</v>
      </c>
      <c r="I47" s="105">
        <f t="shared" si="28"/>
        <v>-28.615155870545667</v>
      </c>
      <c r="J47" s="89">
        <f t="shared" si="3"/>
        <v>57380000</v>
      </c>
      <c r="K47" s="12">
        <f t="shared" si="9"/>
        <v>71.095802150963976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0.21714349575324096</v>
      </c>
      <c r="E48" s="14">
        <f t="shared" si="30"/>
        <v>0.21714349575324096</v>
      </c>
      <c r="F48" s="107">
        <f>15390000+4040000</f>
        <v>19430000</v>
      </c>
      <c r="G48" s="104">
        <f t="shared" si="26"/>
        <v>21.714349575324096</v>
      </c>
      <c r="H48" s="104">
        <f t="shared" si="27"/>
        <v>21.714349575324096</v>
      </c>
      <c r="I48" s="105">
        <f>E48-H48</f>
        <v>-21.497206079570855</v>
      </c>
      <c r="J48" s="89">
        <f t="shared" si="3"/>
        <v>70050000</v>
      </c>
      <c r="K48" s="12">
        <f t="shared" si="9"/>
        <v>78.285650424675907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</v>
      </c>
      <c r="E49" s="67">
        <f>E50</f>
        <v>0.35247804582618353</v>
      </c>
      <c r="F49" s="67">
        <f>F50+F52</f>
        <v>47460000</v>
      </c>
      <c r="G49" s="67">
        <f t="shared" ref="G49:I49" si="31">G50</f>
        <v>35.24780458261835</v>
      </c>
      <c r="H49" s="67">
        <f t="shared" si="31"/>
        <v>35.24780458261835</v>
      </c>
      <c r="I49" s="67">
        <f t="shared" si="31"/>
        <v>-34.895326536792169</v>
      </c>
      <c r="J49" s="59">
        <f t="shared" si="3"/>
        <v>150552940</v>
      </c>
      <c r="K49" s="58">
        <f t="shared" si="9"/>
        <v>76.031869432371437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0.35247804582618353</v>
      </c>
      <c r="E50" s="109">
        <f>SUM(E51:E51)</f>
        <v>0.35247804582618353</v>
      </c>
      <c r="F50" s="110">
        <f>SUM(F51)</f>
        <v>17460000</v>
      </c>
      <c r="G50" s="110">
        <f t="shared" ref="G50:I50" si="32">SUM(G51)</f>
        <v>35.24780458261835</v>
      </c>
      <c r="H50" s="110">
        <f t="shared" si="32"/>
        <v>35.24780458261835</v>
      </c>
      <c r="I50" s="110">
        <f t="shared" si="32"/>
        <v>-34.895326536792169</v>
      </c>
      <c r="J50" s="52">
        <f t="shared" si="3"/>
        <v>32075000</v>
      </c>
      <c r="K50" s="51">
        <f t="shared" si="9"/>
        <v>64.752195417381657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0.35247804582618353</v>
      </c>
      <c r="E51" s="108">
        <f>F51/C51*100%</f>
        <v>0.35247804582618353</v>
      </c>
      <c r="F51" s="107">
        <v>17460000</v>
      </c>
      <c r="G51" s="111">
        <f>H51</f>
        <v>35.24780458261835</v>
      </c>
      <c r="H51" s="111">
        <f>F51/C51*100</f>
        <v>35.24780458261835</v>
      </c>
      <c r="I51" s="108">
        <f>E51-H51</f>
        <v>-34.895326536792169</v>
      </c>
      <c r="J51" s="89">
        <f t="shared" si="3"/>
        <v>32075000</v>
      </c>
      <c r="K51" s="12">
        <f t="shared" si="9"/>
        <v>64.752195417381657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SUM(D53)</f>
        <v>0</v>
      </c>
      <c r="E52" s="39">
        <f>E53</f>
        <v>0</v>
      </c>
      <c r="F52" s="37">
        <f>SUM(F53:F54)</f>
        <v>30000000</v>
      </c>
      <c r="G52" s="37">
        <f t="shared" ref="G52:I52" si="34">SUM(G53:G54)</f>
        <v>22.727272727272727</v>
      </c>
      <c r="H52" s="37">
        <f t="shared" si="34"/>
        <v>22.727272727272727</v>
      </c>
      <c r="I52" s="37">
        <f t="shared" si="34"/>
        <v>-22.5</v>
      </c>
      <c r="J52" s="52">
        <f t="shared" si="3"/>
        <v>118477940</v>
      </c>
      <c r="K52" s="51">
        <f t="shared" si="9"/>
        <v>79.794978297786187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16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0.22727272727272727</v>
      </c>
      <c r="E54" s="108">
        <f>F54/C54*100%</f>
        <v>0.22727272727272727</v>
      </c>
      <c r="F54" s="107">
        <f>6000000+6000000+6000000+6000000+6000000</f>
        <v>30000000</v>
      </c>
      <c r="G54" s="111">
        <f>H54</f>
        <v>22.727272727272727</v>
      </c>
      <c r="H54" s="111">
        <f>F54/C54*100</f>
        <v>22.727272727272727</v>
      </c>
      <c r="I54" s="108">
        <f>E54-H54</f>
        <v>-22.5</v>
      </c>
      <c r="J54" s="89">
        <f t="shared" si="3"/>
        <v>102000000</v>
      </c>
      <c r="K54" s="12">
        <f t="shared" si="9"/>
        <v>77.272727272727266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1.282324576637863</v>
      </c>
      <c r="E55" s="79">
        <f>E56</f>
        <v>1.282324576637863</v>
      </c>
      <c r="F55" s="113">
        <f>F56+F60</f>
        <v>1170709364</v>
      </c>
      <c r="G55" s="113">
        <f t="shared" ref="G55:I55" si="36">G56+G60</f>
        <v>128.23245766378631</v>
      </c>
      <c r="H55" s="113">
        <f t="shared" si="36"/>
        <v>128.23245766378631</v>
      </c>
      <c r="I55" s="113">
        <f t="shared" si="36"/>
        <v>-126.95013308714844</v>
      </c>
      <c r="J55" s="59">
        <f t="shared" si="3"/>
        <v>4694692210</v>
      </c>
      <c r="K55" s="58">
        <f t="shared" si="9"/>
        <v>80.040422650863491</v>
      </c>
      <c r="L55" s="77"/>
    </row>
    <row r="56" spans="1:14" ht="29.45" customHeight="1">
      <c r="A56" s="69" t="s">
        <v>91</v>
      </c>
      <c r="B56" s="138" t="s">
        <v>75</v>
      </c>
      <c r="C56" s="139">
        <f>C57+C58+C59</f>
        <v>5786321644</v>
      </c>
      <c r="D56" s="114">
        <f>D57+D58+D59</f>
        <v>1.282324576637863</v>
      </c>
      <c r="E56" s="114">
        <f>E57+E58+E59</f>
        <v>1.282324576637863</v>
      </c>
      <c r="F56" s="140">
        <f>F57+F58+F59</f>
        <v>1170709364</v>
      </c>
      <c r="G56" s="140">
        <f t="shared" ref="G56:I56" si="37">G57+G58+G59</f>
        <v>128.23245766378631</v>
      </c>
      <c r="H56" s="140">
        <f t="shared" si="37"/>
        <v>128.23245766378631</v>
      </c>
      <c r="I56" s="140">
        <f t="shared" si="37"/>
        <v>-126.95013308714844</v>
      </c>
      <c r="J56" s="52">
        <f>C56-F56</f>
        <v>4615612280</v>
      </c>
      <c r="K56" s="51">
        <f t="shared" si="9"/>
        <v>79.767641067552105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0.8800533029214862</v>
      </c>
      <c r="E57" s="108">
        <f>F57/C57*100%</f>
        <v>0.8800533029214862</v>
      </c>
      <c r="F57" s="107">
        <f>12811000+10988000+10857940+8474300+11962442+9826442+10322702+14165000+14047965+9530000+10934732+12511000+10906091</f>
        <v>147337614</v>
      </c>
      <c r="G57" s="111">
        <f>H57</f>
        <v>88.005330292148614</v>
      </c>
      <c r="H57" s="111">
        <f>F57/C57*100</f>
        <v>88.005330292148614</v>
      </c>
      <c r="I57" s="108">
        <f>E57-H57</f>
        <v>-87.125276989227132</v>
      </c>
      <c r="J57" s="122">
        <f>C57-F57</f>
        <v>20081352</v>
      </c>
      <c r="K57" s="123">
        <f t="shared" si="9"/>
        <v>11.994669707851379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8">E58</f>
        <v>0.23284417300234692</v>
      </c>
      <c r="E58" s="108">
        <f t="shared" ref="E58:E59" si="39">F58/C58*100%</f>
        <v>0.23284417300234692</v>
      </c>
      <c r="F58" s="107">
        <f>33568000+30000000+30398000+30595600+2574500+33881770+23178900+35846000+2755927+39272726</f>
        <v>262071423</v>
      </c>
      <c r="G58" s="111">
        <f t="shared" ref="G58:G59" si="40">H58</f>
        <v>23.28441730023469</v>
      </c>
      <c r="H58" s="111">
        <f t="shared" ref="H58:H59" si="41">F58/C58*100</f>
        <v>23.28441730023469</v>
      </c>
      <c r="I58" s="108">
        <f t="shared" ref="I58:I59" si="42">E58-H58</f>
        <v>-23.051573127232341</v>
      </c>
      <c r="J58" s="122">
        <f t="shared" ref="J58:J59" si="43">C58-F58</f>
        <v>863451366</v>
      </c>
      <c r="K58" s="123">
        <f t="shared" si="9"/>
        <v>76.715582699765307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8"/>
        <v>0.16942710071403003</v>
      </c>
      <c r="E59" s="108">
        <f t="shared" si="39"/>
        <v>0.16942710071403003</v>
      </c>
      <c r="F59" s="107">
        <f>47710000+42763636+28800000+56250000+33600000+93150000+12708191+2574500+13500000+37500000+34140000+40200000+44400000+19250000+48150000+44700000+2790000+63000000+38400000+17640000+18624000+21450000</f>
        <v>761300327</v>
      </c>
      <c r="G59" s="111">
        <f t="shared" si="40"/>
        <v>16.942710071403003</v>
      </c>
      <c r="H59" s="111">
        <f t="shared" si="41"/>
        <v>16.942710071403003</v>
      </c>
      <c r="I59" s="108">
        <f t="shared" si="42"/>
        <v>-16.773282970688971</v>
      </c>
      <c r="J59" s="122">
        <f t="shared" si="43"/>
        <v>3732079562</v>
      </c>
      <c r="K59" s="123">
        <f t="shared" si="9"/>
        <v>83.057289928597001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4">F60</f>
        <v>0</v>
      </c>
      <c r="H60" s="109">
        <f t="shared" si="44"/>
        <v>0</v>
      </c>
      <c r="I60" s="109">
        <f t="shared" si="44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5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16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5"/>
        <v>0</v>
      </c>
      <c r="E62" s="108">
        <f t="shared" ref="E62:E63" si="46">F62/C62*100%</f>
        <v>0</v>
      </c>
      <c r="F62" s="107">
        <v>0</v>
      </c>
      <c r="G62" s="111">
        <f t="shared" ref="G62:G63" si="47">H62</f>
        <v>0</v>
      </c>
      <c r="H62" s="111">
        <f t="shared" ref="H62:H63" si="48">F62/C62*100</f>
        <v>0</v>
      </c>
      <c r="I62" s="108">
        <f t="shared" ref="I62:I63" si="49">E62-H62</f>
        <v>0</v>
      </c>
      <c r="J62" s="89">
        <f t="shared" si="3"/>
        <v>15600000</v>
      </c>
      <c r="K62" s="12">
        <f t="shared" si="9"/>
        <v>100</v>
      </c>
      <c r="L62" s="18"/>
    </row>
    <row r="63" spans="1:14" ht="19.149999999999999" customHeight="1">
      <c r="A63" s="18"/>
      <c r="B63" s="34" t="s">
        <v>70</v>
      </c>
      <c r="C63" s="20">
        <v>24109818</v>
      </c>
      <c r="D63" s="14">
        <f t="shared" si="45"/>
        <v>0</v>
      </c>
      <c r="E63" s="108">
        <f t="shared" si="46"/>
        <v>0</v>
      </c>
      <c r="F63" s="107">
        <v>0</v>
      </c>
      <c r="G63" s="111">
        <f t="shared" si="47"/>
        <v>0</v>
      </c>
      <c r="H63" s="111">
        <f t="shared" si="48"/>
        <v>0</v>
      </c>
      <c r="I63" s="108">
        <f t="shared" si="49"/>
        <v>0</v>
      </c>
      <c r="J63" s="89">
        <f t="shared" si="3"/>
        <v>24109818</v>
      </c>
      <c r="K63" s="12">
        <f t="shared" si="9"/>
        <v>100</v>
      </c>
      <c r="L63" s="18"/>
    </row>
    <row r="64" spans="1:14" ht="19.149999999999999" customHeight="1">
      <c r="A64" s="190" t="s">
        <v>82</v>
      </c>
      <c r="B64" s="76" t="s">
        <v>137</v>
      </c>
      <c r="C64" s="196">
        <f>C65</f>
        <v>1400000000</v>
      </c>
      <c r="D64" s="191">
        <f>D65</f>
        <v>1.2539479818783759E-2</v>
      </c>
      <c r="E64" s="191">
        <f t="shared" ref="E64:L64" si="50">E65</f>
        <v>1.2539479818783759E-2</v>
      </c>
      <c r="F64" s="191">
        <f t="shared" si="50"/>
        <v>30978600</v>
      </c>
      <c r="G64" s="191">
        <f t="shared" si="50"/>
        <v>6.2449105186876812</v>
      </c>
      <c r="H64" s="191">
        <f t="shared" si="50"/>
        <v>6.2449105186876812</v>
      </c>
      <c r="I64" s="191">
        <f t="shared" si="50"/>
        <v>6.2449105186876812</v>
      </c>
      <c r="J64" s="191">
        <f t="shared" si="50"/>
        <v>1369021400</v>
      </c>
      <c r="K64" s="191">
        <f t="shared" si="50"/>
        <v>97.787242857142857</v>
      </c>
      <c r="L64" s="191">
        <f t="shared" si="50"/>
        <v>0</v>
      </c>
    </row>
    <row r="65" spans="1:12" ht="19.149999999999999" customHeight="1">
      <c r="A65" s="192" t="s">
        <v>93</v>
      </c>
      <c r="B65" s="29" t="s">
        <v>142</v>
      </c>
      <c r="C65" s="195">
        <f>C66+C67</f>
        <v>1400000000</v>
      </c>
      <c r="D65" s="38">
        <f>D66</f>
        <v>1.2539479818783759E-2</v>
      </c>
      <c r="E65" s="109">
        <f>D65</f>
        <v>1.2539479818783759E-2</v>
      </c>
      <c r="F65" s="109">
        <f>F66+F67</f>
        <v>30978600</v>
      </c>
      <c r="G65" s="197">
        <f>G66+G67</f>
        <v>6.2449105186876812</v>
      </c>
      <c r="H65" s="109">
        <f t="shared" ref="H65:I65" si="51">G65</f>
        <v>6.2449105186876812</v>
      </c>
      <c r="I65" s="109">
        <f t="shared" si="51"/>
        <v>6.2449105186876812</v>
      </c>
      <c r="J65" s="52">
        <f t="shared" ref="J65:J67" si="52">C65-F65</f>
        <v>1369021400</v>
      </c>
      <c r="K65" s="51">
        <f t="shared" ref="K65:K67" si="53">J65/C65*100</f>
        <v>97.787242857142857</v>
      </c>
      <c r="L65" s="73"/>
    </row>
    <row r="66" spans="1:12" ht="36" customHeight="1">
      <c r="A66" s="189"/>
      <c r="B66" s="194" t="s">
        <v>143</v>
      </c>
      <c r="C66" s="188">
        <v>1040800750</v>
      </c>
      <c r="D66" s="14">
        <f t="shared" ref="D66:D67" si="54">E66</f>
        <v>1.2539479818783759E-2</v>
      </c>
      <c r="E66" s="108">
        <f>F66/C66*100%</f>
        <v>1.2539479818783759E-2</v>
      </c>
      <c r="F66" s="107">
        <v>13051100</v>
      </c>
      <c r="G66" s="111">
        <f>H66</f>
        <v>1.2539479818783759</v>
      </c>
      <c r="H66" s="111">
        <f>F66/C66*100</f>
        <v>1.2539479818783759</v>
      </c>
      <c r="I66" s="108">
        <f>E66-H66</f>
        <v>-1.2414085020595922</v>
      </c>
      <c r="J66" s="89">
        <f t="shared" si="52"/>
        <v>1027749650</v>
      </c>
      <c r="K66" s="12">
        <f t="shared" si="53"/>
        <v>98.746052018121617</v>
      </c>
      <c r="L66" s="16"/>
    </row>
    <row r="67" spans="1:12" ht="19.149999999999999" customHeight="1">
      <c r="A67" s="189"/>
      <c r="B67" s="193" t="s">
        <v>144</v>
      </c>
      <c r="C67" s="188">
        <v>359199250</v>
      </c>
      <c r="D67" s="14">
        <f t="shared" si="54"/>
        <v>4.9909625368093055E-2</v>
      </c>
      <c r="E67" s="108">
        <f t="shared" ref="E67" si="55">F67/C67*100%</f>
        <v>4.9909625368093055E-2</v>
      </c>
      <c r="F67" s="107">
        <f>5420000+4462500+8045000</f>
        <v>17927500</v>
      </c>
      <c r="G67" s="111">
        <f t="shared" ref="G67" si="56">H67</f>
        <v>4.9909625368093051</v>
      </c>
      <c r="H67" s="111">
        <f t="shared" ref="H67" si="57">F67/C67*100</f>
        <v>4.9909625368093051</v>
      </c>
      <c r="I67" s="108">
        <f t="shared" ref="I67" si="58">E67-H67</f>
        <v>-4.9410529114412123</v>
      </c>
      <c r="J67" s="89">
        <f t="shared" si="52"/>
        <v>341271750</v>
      </c>
      <c r="K67" s="12">
        <f t="shared" si="53"/>
        <v>95.009037463190694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0.38945437775829966</v>
      </c>
      <c r="E68" s="79"/>
      <c r="F68" s="80">
        <f>F69</f>
        <v>33560800</v>
      </c>
      <c r="G68" s="80">
        <f t="shared" ref="G68:I68" si="59">G69</f>
        <v>38.945437775829966</v>
      </c>
      <c r="H68" s="80">
        <f t="shared" si="59"/>
        <v>38.945437775829966</v>
      </c>
      <c r="I68" s="80">
        <f t="shared" si="59"/>
        <v>-38.555983398071668</v>
      </c>
      <c r="J68" s="59">
        <f t="shared" si="3"/>
        <v>267070200</v>
      </c>
      <c r="K68" s="58">
        <f t="shared" si="9"/>
        <v>88.836547129204902</v>
      </c>
      <c r="L68" s="82"/>
    </row>
    <row r="69" spans="1:12" ht="37.15" customHeight="1">
      <c r="A69" s="70" t="s">
        <v>139</v>
      </c>
      <c r="B69" s="119" t="s">
        <v>71</v>
      </c>
      <c r="C69" s="84">
        <f>SUM(C70:C72)</f>
        <v>300631000</v>
      </c>
      <c r="D69" s="114">
        <f>SUM(D70:D72)</f>
        <v>0.38945437775829966</v>
      </c>
      <c r="E69" s="114">
        <f>SUM(E70:E72)</f>
        <v>0.38945437775829966</v>
      </c>
      <c r="F69" s="114">
        <f>SUM(F70:F72)</f>
        <v>33560800</v>
      </c>
      <c r="G69" s="114">
        <f t="shared" ref="G69:I69" si="60">SUM(G70:G72)</f>
        <v>38.945437775829966</v>
      </c>
      <c r="H69" s="114">
        <f t="shared" si="60"/>
        <v>38.945437775829966</v>
      </c>
      <c r="I69" s="114">
        <f t="shared" si="60"/>
        <v>-38.555983398071668</v>
      </c>
      <c r="J69" s="52">
        <f t="shared" si="3"/>
        <v>267070200</v>
      </c>
      <c r="K69" s="51">
        <f t="shared" si="9"/>
        <v>88.836547129204902</v>
      </c>
      <c r="L69" s="83"/>
    </row>
    <row r="70" spans="1:12" ht="76.150000000000006" customHeight="1">
      <c r="A70" s="43"/>
      <c r="B70" s="64" t="s">
        <v>52</v>
      </c>
      <c r="C70" s="26">
        <v>99126000</v>
      </c>
      <c r="D70" s="14">
        <f t="shared" ref="D70:D72" si="61">E70</f>
        <v>0</v>
      </c>
      <c r="E70" s="108">
        <f>F70/C70*100%</f>
        <v>0</v>
      </c>
      <c r="F70" s="115">
        <v>0</v>
      </c>
      <c r="G70" s="116">
        <f>H70</f>
        <v>0</v>
      </c>
      <c r="H70" s="116">
        <f>F70/C70*100</f>
        <v>0</v>
      </c>
      <c r="I70" s="108">
        <f>E70-H70</f>
        <v>0</v>
      </c>
      <c r="J70" s="89">
        <f t="shared" si="3"/>
        <v>99126000</v>
      </c>
      <c r="K70" s="12">
        <f t="shared" si="9"/>
        <v>100</v>
      </c>
      <c r="L70" s="19"/>
    </row>
    <row r="71" spans="1:12" ht="48" customHeight="1">
      <c r="A71" s="41"/>
      <c r="B71" s="64" t="s">
        <v>53</v>
      </c>
      <c r="C71" s="26">
        <v>163575000</v>
      </c>
      <c r="D71" s="14">
        <f t="shared" si="61"/>
        <v>0.14953874369555251</v>
      </c>
      <c r="E71" s="108">
        <f t="shared" ref="E71:E72" si="62">F71/C71*100%</f>
        <v>0.14953874369555251</v>
      </c>
      <c r="F71" s="115">
        <f>24460800</f>
        <v>24460800</v>
      </c>
      <c r="G71" s="116">
        <f t="shared" ref="G71:G72" si="63">H71</f>
        <v>14.953874369555251</v>
      </c>
      <c r="H71" s="116">
        <f t="shared" ref="H71:H72" si="64">F71/C71*100</f>
        <v>14.953874369555251</v>
      </c>
      <c r="I71" s="108">
        <f t="shared" ref="I71:I72" si="65">E71-H71</f>
        <v>-14.804335625859698</v>
      </c>
      <c r="J71" s="89">
        <f t="shared" si="3"/>
        <v>139114200</v>
      </c>
      <c r="K71" s="12">
        <f t="shared" si="9"/>
        <v>85.046125630444749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61"/>
        <v>0.23991563406274716</v>
      </c>
      <c r="E72" s="108">
        <f t="shared" si="62"/>
        <v>0.23991563406274716</v>
      </c>
      <c r="F72" s="115">
        <v>9100000</v>
      </c>
      <c r="G72" s="116">
        <f t="shared" si="63"/>
        <v>23.991563406274715</v>
      </c>
      <c r="H72" s="116">
        <f t="shared" si="64"/>
        <v>23.991563406274715</v>
      </c>
      <c r="I72" s="108">
        <f t="shared" si="65"/>
        <v>-23.751647772211967</v>
      </c>
      <c r="J72" s="125">
        <f t="shared" si="3"/>
        <v>28830000</v>
      </c>
      <c r="K72" s="7">
        <f t="shared" si="9"/>
        <v>76.008436593725278</v>
      </c>
      <c r="L72" s="19"/>
    </row>
    <row r="73" spans="1:12">
      <c r="G73" s="117"/>
      <c r="H73" s="117"/>
    </row>
    <row r="74" spans="1:12">
      <c r="G74" s="117"/>
      <c r="H74" s="117"/>
    </row>
    <row r="75" spans="1:12">
      <c r="G75" s="117"/>
      <c r="H75" s="117"/>
    </row>
    <row r="76" spans="1:12">
      <c r="G76" s="117"/>
      <c r="H76" s="117"/>
    </row>
    <row r="77" spans="1:12">
      <c r="G77" s="117"/>
      <c r="H77" s="117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</row>
    <row r="82" spans="1:14">
      <c r="G82" s="117"/>
      <c r="H82" s="117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3">
    <mergeCell ref="D8:E8"/>
    <mergeCell ref="F8:H8"/>
    <mergeCell ref="A12:B12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300" r:id="rId1"/>
  <rowBreaks count="1" manualBreakCount="1">
    <brk id="39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9"/>
  <sheetViews>
    <sheetView view="pageBreakPreview" zoomScale="80" zoomScaleSheetLayoutView="80" workbookViewId="0">
      <selection activeCell="D36" sqref="D36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134</v>
      </c>
      <c r="N5" s="44"/>
    </row>
    <row r="6" spans="1:14">
      <c r="A6" s="4"/>
      <c r="C6" s="22"/>
      <c r="J6" s="3" t="s">
        <v>3</v>
      </c>
      <c r="K6" s="3" t="s">
        <v>135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187" t="s">
        <v>8</v>
      </c>
      <c r="C10" s="129">
        <f>C11</f>
        <v>21589005295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187" t="s">
        <v>9</v>
      </c>
      <c r="C11" s="129">
        <f>C12</f>
        <v>21589005295</v>
      </c>
      <c r="D11" s="94">
        <f t="shared" ref="D11:I11" si="0">D12</f>
        <v>0.21985860613500766</v>
      </c>
      <c r="E11" s="94">
        <f t="shared" si="0"/>
        <v>0.21985860613500766</v>
      </c>
      <c r="F11" s="94">
        <f t="shared" si="0"/>
        <v>4746528612</v>
      </c>
      <c r="G11" s="94">
        <f t="shared" si="0"/>
        <v>21.985860613500765</v>
      </c>
      <c r="H11" s="94">
        <f t="shared" si="0"/>
        <v>21.985860613500765</v>
      </c>
      <c r="I11" s="94">
        <f t="shared" si="0"/>
        <v>21.766002007365756</v>
      </c>
      <c r="J11" s="6">
        <f>C11-F11</f>
        <v>16842476683</v>
      </c>
      <c r="K11" s="6">
        <f>J11/C11*100</f>
        <v>78.014139386499238</v>
      </c>
      <c r="L11" s="9"/>
      <c r="N11" s="1"/>
    </row>
    <row r="12" spans="1:14" ht="25.15" customHeight="1">
      <c r="A12" s="236" t="s">
        <v>66</v>
      </c>
      <c r="B12" s="237"/>
      <c r="C12" s="127">
        <f>C13+C49+C55+C64+C68</f>
        <v>21589005295</v>
      </c>
      <c r="D12" s="126">
        <f>E12</f>
        <v>0.21985860613500766</v>
      </c>
      <c r="E12" s="126">
        <f>F12/C12*100%</f>
        <v>0.21985860613500766</v>
      </c>
      <c r="F12" s="126">
        <f>F13+F68+F49+F55+F64</f>
        <v>4746528612</v>
      </c>
      <c r="G12" s="126">
        <f>H12</f>
        <v>21.985860613500765</v>
      </c>
      <c r="H12" s="126">
        <f>F12/C12*100</f>
        <v>21.985860613500765</v>
      </c>
      <c r="I12" s="126">
        <f>H12-E12</f>
        <v>21.766002007365756</v>
      </c>
      <c r="J12" s="126">
        <f>J13+J68+J49+J55+J64</f>
        <v>16842476683</v>
      </c>
      <c r="K12" s="146">
        <f>J12/C12*100</f>
        <v>78.014139386499238</v>
      </c>
      <c r="L12" s="128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0.2997780845406714</v>
      </c>
      <c r="E13" s="57">
        <f>F13/C13*100%</f>
        <v>0.2997780845406714</v>
      </c>
      <c r="F13" s="57">
        <f t="shared" si="1"/>
        <v>4144419962</v>
      </c>
      <c r="G13" s="57">
        <f>H13</f>
        <v>29.977808454067141</v>
      </c>
      <c r="H13" s="57">
        <f>F13/C13*100</f>
        <v>29.977808454067141</v>
      </c>
      <c r="I13" s="57">
        <f>H13-E13</f>
        <v>29.678030369526468</v>
      </c>
      <c r="J13" s="59">
        <f>C13-F13</f>
        <v>9680539819</v>
      </c>
      <c r="K13" s="58">
        <f>J13/C13*100</f>
        <v>70.022191545932856</v>
      </c>
      <c r="L13" s="58">
        <f>L14+L21+L25+L27+L36+L39+L43</f>
        <v>0</v>
      </c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H14" si="2">SUM(C15:C20)</f>
        <v>140773000</v>
      </c>
      <c r="D14" s="38">
        <f t="shared" si="2"/>
        <v>0.23465609845126975</v>
      </c>
      <c r="E14" s="38">
        <f t="shared" si="2"/>
        <v>0.23465609845126975</v>
      </c>
      <c r="F14" s="36">
        <f t="shared" si="2"/>
        <v>18000000</v>
      </c>
      <c r="G14" s="90">
        <f t="shared" si="2"/>
        <v>23.465609845126973</v>
      </c>
      <c r="H14" s="90">
        <f t="shared" si="2"/>
        <v>23.465609845126973</v>
      </c>
      <c r="I14" s="99">
        <f>E14-H14</f>
        <v>-23.230953746675702</v>
      </c>
      <c r="J14" s="52">
        <f>C14-F14</f>
        <v>122773000</v>
      </c>
      <c r="K14" s="51">
        <f>J14/C14*100</f>
        <v>87.213457126011377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0.23465609845126975</v>
      </c>
      <c r="E15" s="11">
        <f>F15/C15*100%</f>
        <v>0.23465609845126975</v>
      </c>
      <c r="F15" s="100">
        <f>4500000+4500000+4500000+4500000</f>
        <v>18000000</v>
      </c>
      <c r="G15" s="101">
        <f>H15</f>
        <v>23.465609845126973</v>
      </c>
      <c r="H15" s="101">
        <f>F15/C15*100</f>
        <v>23.465609845126973</v>
      </c>
      <c r="I15" s="102">
        <f>H15-E15</f>
        <v>23.230953746675702</v>
      </c>
      <c r="J15" s="89">
        <f t="shared" ref="J15:J72" si="3">C15-F15</f>
        <v>58708000</v>
      </c>
      <c r="K15" s="12">
        <f>J15/C15*100</f>
        <v>76.534390154873023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72" si="9">J16/C16*100</f>
        <v>100</v>
      </c>
      <c r="L16" s="13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13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0</v>
      </c>
      <c r="E18" s="11">
        <f t="shared" si="5"/>
        <v>0</v>
      </c>
      <c r="F18" s="100">
        <v>0</v>
      </c>
      <c r="G18" s="101">
        <f t="shared" si="6"/>
        <v>0</v>
      </c>
      <c r="H18" s="101">
        <f t="shared" si="7"/>
        <v>0</v>
      </c>
      <c r="I18" s="102">
        <f t="shared" si="8"/>
        <v>0</v>
      </c>
      <c r="J18" s="89">
        <f t="shared" si="3"/>
        <v>7350000</v>
      </c>
      <c r="K18" s="12">
        <f t="shared" si="9"/>
        <v>100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13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13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0.52100549457787815</v>
      </c>
      <c r="E21" s="38">
        <f>SUM(E22:E24)</f>
        <v>0.52100549457787815</v>
      </c>
      <c r="F21" s="36">
        <f>SUM(F22:F24)</f>
        <v>3349665700</v>
      </c>
      <c r="G21" s="90">
        <f t="shared" si="6"/>
        <v>52.100549457787807</v>
      </c>
      <c r="H21" s="90">
        <f>SUM(H22:H24)</f>
        <v>52.100549457787807</v>
      </c>
      <c r="I21" s="99">
        <f>E21-H21</f>
        <v>-51.579543963209929</v>
      </c>
      <c r="J21" s="52">
        <f t="shared" si="3"/>
        <v>7231621562</v>
      </c>
      <c r="K21" s="51">
        <f t="shared" si="9"/>
        <v>68.343495294476398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0.31736913094151448</v>
      </c>
      <c r="E22" s="85">
        <f>F22/C22*100%</f>
        <v>0.31736913094151448</v>
      </c>
      <c r="F22" s="103">
        <f>586844600+275805000+987621900+615632300+876761900</f>
        <v>3342665700</v>
      </c>
      <c r="G22" s="104">
        <f>H22</f>
        <v>31.736913094151447</v>
      </c>
      <c r="H22" s="104">
        <f>F22/C22*100</f>
        <v>31.736913094151447</v>
      </c>
      <c r="I22" s="105">
        <f>E22-H22</f>
        <v>-31.419543963209932</v>
      </c>
      <c r="J22" s="89">
        <f t="shared" si="3"/>
        <v>7189756562</v>
      </c>
      <c r="K22" s="12">
        <f t="shared" si="9"/>
        <v>68.263086905848553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13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0.20363636363636364</v>
      </c>
      <c r="E24" s="85">
        <f t="shared" si="11"/>
        <v>0.20363636363636364</v>
      </c>
      <c r="F24" s="103">
        <f>1750000+1750000+1750000+1750000</f>
        <v>7000000</v>
      </c>
      <c r="G24" s="104">
        <f t="shared" si="12"/>
        <v>20.363636363636363</v>
      </c>
      <c r="H24" s="104">
        <f t="shared" si="13"/>
        <v>20.363636363636363</v>
      </c>
      <c r="I24" s="105">
        <f t="shared" si="14"/>
        <v>-20.16</v>
      </c>
      <c r="J24" s="89">
        <f t="shared" si="3"/>
        <v>27375000</v>
      </c>
      <c r="K24" s="12">
        <f t="shared" si="9"/>
        <v>79.63636363636364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</v>
      </c>
      <c r="E25" s="38">
        <f>E26</f>
        <v>0</v>
      </c>
      <c r="F25" s="36">
        <f>F26</f>
        <v>6000000</v>
      </c>
      <c r="G25" s="90">
        <f>H25</f>
        <v>26.642984014209592</v>
      </c>
      <c r="H25" s="90">
        <f>SUM(H26)</f>
        <v>26.642984014209592</v>
      </c>
      <c r="I25" s="99">
        <f>E25-H25</f>
        <v>-26.642984014209592</v>
      </c>
      <c r="J25" s="52">
        <f t="shared" si="3"/>
        <v>16520000</v>
      </c>
      <c r="K25" s="51">
        <f t="shared" si="9"/>
        <v>73.357015985790412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1">
        <f>E26</f>
        <v>0</v>
      </c>
      <c r="E26" s="11">
        <v>0</v>
      </c>
      <c r="F26" s="134">
        <f>1500000+1500000+1500000+1500000</f>
        <v>6000000</v>
      </c>
      <c r="G26" s="101">
        <f>H26</f>
        <v>26.642984014209592</v>
      </c>
      <c r="H26" s="101">
        <f>F26/C26*100</f>
        <v>26.642984014209592</v>
      </c>
      <c r="I26" s="102">
        <f>E26-H26</f>
        <v>-26.642984014209592</v>
      </c>
      <c r="J26" s="89">
        <f t="shared" si="3"/>
        <v>16520000</v>
      </c>
      <c r="K26" s="12">
        <f t="shared" si="9"/>
        <v>73.357015985790412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SUM(D28:D35)</f>
        <v>2.5578062556185213</v>
      </c>
      <c r="E27" s="38">
        <f>SUM(E28:E35)</f>
        <v>2.5578062556185213</v>
      </c>
      <c r="F27" s="36">
        <f>SUM(F28:F35)</f>
        <v>276741263</v>
      </c>
      <c r="G27" s="90">
        <f t="shared" ref="G27:G35" si="15">H27</f>
        <v>255.78062556185216</v>
      </c>
      <c r="H27" s="90">
        <f>SUM(H28:H35)</f>
        <v>255.78062556185216</v>
      </c>
      <c r="I27" s="99">
        <f>E27-H27</f>
        <v>-253.22281930623365</v>
      </c>
      <c r="J27" s="52">
        <f t="shared" si="3"/>
        <v>558650523</v>
      </c>
      <c r="K27" s="51">
        <f t="shared" si="9"/>
        <v>66.872877177176363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0.32193486431768331</v>
      </c>
      <c r="E28" s="14">
        <f>F28/C28*100%</f>
        <v>0.32193486431768331</v>
      </c>
      <c r="F28" s="106">
        <f>1069000+1205800+1785479+739000+271391+2626970+820000+1869081+805000+1842800</f>
        <v>13034521</v>
      </c>
      <c r="G28" s="101">
        <f t="shared" si="15"/>
        <v>32.193486431768328</v>
      </c>
      <c r="H28" s="101">
        <f t="shared" ref="H28:H35" si="16">F28/C28*100</f>
        <v>32.193486431768328</v>
      </c>
      <c r="I28" s="102">
        <f>E28-H28</f>
        <v>-31.871551567450645</v>
      </c>
      <c r="J28" s="89">
        <f t="shared" si="3"/>
        <v>27453548</v>
      </c>
      <c r="K28" s="12">
        <f t="shared" si="9"/>
        <v>67.806513568231665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0.58640912684915747</v>
      </c>
      <c r="E29" s="14">
        <f t="shared" ref="E29:E35" si="18">F29/C29*100%</f>
        <v>0.58640912684915747</v>
      </c>
      <c r="F29" s="106">
        <f>48249723+4577000+5601100+4619985+2222000+870288+2844992+7535999+2390000+7589822+2380000+4229300+2645000</f>
        <v>95755209</v>
      </c>
      <c r="G29" s="101">
        <f t="shared" si="15"/>
        <v>58.640912684915747</v>
      </c>
      <c r="H29" s="101">
        <f t="shared" si="16"/>
        <v>58.640912684915747</v>
      </c>
      <c r="I29" s="102">
        <f t="shared" ref="I29:I35" si="19">E29-H29</f>
        <v>-58.054503558066592</v>
      </c>
      <c r="J29" s="89">
        <f t="shared" si="3"/>
        <v>67535580</v>
      </c>
      <c r="K29" s="12">
        <f t="shared" si="9"/>
        <v>41.35908731508426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0.23055863178220259</v>
      </c>
      <c r="E30" s="14">
        <f t="shared" si="18"/>
        <v>0.23055863178220259</v>
      </c>
      <c r="F30" s="106">
        <f>3112000+3567351+707283+2239604+918922+2738000+2796490+2082000+1092000</f>
        <v>19253650</v>
      </c>
      <c r="G30" s="101">
        <f t="shared" si="15"/>
        <v>23.05586317822026</v>
      </c>
      <c r="H30" s="101">
        <f t="shared" si="16"/>
        <v>23.05586317822026</v>
      </c>
      <c r="I30" s="102">
        <f t="shared" si="19"/>
        <v>-22.825304546438058</v>
      </c>
      <c r="J30" s="89">
        <f t="shared" si="3"/>
        <v>64255043</v>
      </c>
      <c r="K30" s="12">
        <f t="shared" si="9"/>
        <v>76.944136821779736</v>
      </c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0.3141279740866344</v>
      </c>
      <c r="E31" s="14">
        <f t="shared" si="18"/>
        <v>0.3141279740866344</v>
      </c>
      <c r="F31" s="106">
        <f>7680000+2560000+3200000+1600000+1200000+1500000+1900000+2496000+1200000+11200000+570000</f>
        <v>35106000</v>
      </c>
      <c r="G31" s="101">
        <f t="shared" si="15"/>
        <v>31.41279740866344</v>
      </c>
      <c r="H31" s="101">
        <f t="shared" si="16"/>
        <v>31.41279740866344</v>
      </c>
      <c r="I31" s="102">
        <f t="shared" si="19"/>
        <v>-31.098669434576806</v>
      </c>
      <c r="J31" s="89">
        <f t="shared" si="3"/>
        <v>76651000</v>
      </c>
      <c r="K31" s="12">
        <f t="shared" si="9"/>
        <v>68.587202591336563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0.23806627421704066</v>
      </c>
      <c r="E32" s="14">
        <f t="shared" si="18"/>
        <v>0.23806627421704066</v>
      </c>
      <c r="F32" s="106">
        <f>2135000+1500000+3429552+2344658+3160791+1100000+4966880+1100000+2005050</f>
        <v>21741931</v>
      </c>
      <c r="G32" s="101">
        <f t="shared" si="15"/>
        <v>23.806627421704064</v>
      </c>
      <c r="H32" s="101">
        <f t="shared" si="16"/>
        <v>23.806627421704064</v>
      </c>
      <c r="I32" s="102">
        <f t="shared" si="19"/>
        <v>-23.568561147487024</v>
      </c>
      <c r="J32" s="89">
        <f t="shared" si="3"/>
        <v>69585289</v>
      </c>
      <c r="K32" s="12">
        <f t="shared" si="9"/>
        <v>76.193372578295936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0.17982252474275948</v>
      </c>
      <c r="E33" s="14">
        <f t="shared" si="18"/>
        <v>0.17982252474275948</v>
      </c>
      <c r="F33" s="106">
        <f>750000+4453000+927150+834435+1200000+661367+244000+915000+300000</f>
        <v>10284952</v>
      </c>
      <c r="G33" s="101">
        <f t="shared" si="15"/>
        <v>17.982252474275949</v>
      </c>
      <c r="H33" s="101">
        <f t="shared" si="16"/>
        <v>17.982252474275949</v>
      </c>
      <c r="I33" s="102">
        <f t="shared" si="19"/>
        <v>-17.802429949533188</v>
      </c>
      <c r="J33" s="89">
        <f t="shared" si="3"/>
        <v>46910063</v>
      </c>
      <c r="K33" s="12">
        <f t="shared" si="9"/>
        <v>82.017747525724047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0.58212627669452177</v>
      </c>
      <c r="E34" s="14">
        <f t="shared" si="18"/>
        <v>0.58212627669452177</v>
      </c>
      <c r="F34" s="106">
        <f>7500000+5000000+5000000+5000000+1125000+2500000+2500000+1000000+2500000+25000000+5000000+570000</f>
        <v>62695000</v>
      </c>
      <c r="G34" s="101">
        <f t="shared" si="15"/>
        <v>58.212627669452175</v>
      </c>
      <c r="H34" s="101">
        <f t="shared" si="16"/>
        <v>58.212627669452175</v>
      </c>
      <c r="I34" s="102">
        <f t="shared" si="19"/>
        <v>-57.630501392757651</v>
      </c>
      <c r="J34" s="89">
        <f t="shared" si="3"/>
        <v>45005000</v>
      </c>
      <c r="K34" s="12">
        <f t="shared" si="9"/>
        <v>41.787372330547818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0.10476058292852186</v>
      </c>
      <c r="E35" s="14">
        <f t="shared" si="18"/>
        <v>0.10476058292852186</v>
      </c>
      <c r="F35" s="106">
        <f>1800000+1000000+2770000+600000+2000000+2000000+1900000+3750000+1000000+1500000+550000</f>
        <v>18870000</v>
      </c>
      <c r="G35" s="101">
        <f t="shared" si="15"/>
        <v>10.476058292852187</v>
      </c>
      <c r="H35" s="101">
        <f t="shared" si="16"/>
        <v>10.476058292852187</v>
      </c>
      <c r="I35" s="102">
        <f t="shared" si="19"/>
        <v>-10.371297709923665</v>
      </c>
      <c r="J35" s="89">
        <f t="shared" si="3"/>
        <v>161255000</v>
      </c>
      <c r="K35" s="12">
        <f t="shared" si="9"/>
        <v>89.523941707147813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 t="shared" ref="D36:I36" si="20">SUM(D38:D38)</f>
        <v>0</v>
      </c>
      <c r="E36" s="38">
        <f t="shared" si="20"/>
        <v>0</v>
      </c>
      <c r="F36" s="36">
        <f t="shared" si="20"/>
        <v>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52">
        <f t="shared" si="3"/>
        <v>135067517</v>
      </c>
      <c r="K36" s="51">
        <f t="shared" si="9"/>
        <v>100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4.9382716049382713E-2</v>
      </c>
      <c r="E37" s="133">
        <f>F37/C37*100%</f>
        <v>4.9382716049382713E-2</v>
      </c>
      <c r="F37" s="134">
        <v>4000000</v>
      </c>
      <c r="G37" s="134">
        <f>H37</f>
        <v>4.9382716049382713</v>
      </c>
      <c r="H37" s="134">
        <f>F37/C37*100</f>
        <v>4.9382716049382713</v>
      </c>
      <c r="I37" s="134">
        <f>E37-H37</f>
        <v>-4.8888888888888884</v>
      </c>
      <c r="J37" s="122">
        <f>C37-F37</f>
        <v>77000000</v>
      </c>
      <c r="K37" s="123">
        <f>J37/C37*100</f>
        <v>95.061728395061735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7.1076534055531437E-2</v>
      </c>
      <c r="E39" s="38">
        <f>SUM(E40:E42)</f>
        <v>0.6444832613943412</v>
      </c>
      <c r="F39" s="36">
        <f>SUM(F40:F42)</f>
        <v>389694999</v>
      </c>
      <c r="G39" s="90">
        <f t="shared" ref="G39:G42" si="21">H39</f>
        <v>64.44832613943413</v>
      </c>
      <c r="H39" s="90">
        <f>SUM(H40:H42)</f>
        <v>64.44832613943413</v>
      </c>
      <c r="I39" s="99">
        <f>E39-H39</f>
        <v>-63.803842878039788</v>
      </c>
      <c r="J39" s="52">
        <f t="shared" si="3"/>
        <v>1214997217</v>
      </c>
      <c r="K39" s="51">
        <f t="shared" si="9"/>
        <v>75.715280780049596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v>0</v>
      </c>
      <c r="E40" s="14">
        <f>F40/C40*100%</f>
        <v>0.24184919149998771</v>
      </c>
      <c r="F40" s="106">
        <f>2000000+1782011+882698+750000+500000+300000+500000+300000+1250000+1250000</f>
        <v>9514709</v>
      </c>
      <c r="G40" s="104">
        <f t="shared" si="21"/>
        <v>24.18491914999877</v>
      </c>
      <c r="H40" s="104">
        <f t="shared" ref="H40:H42" si="22">F40/C40*100</f>
        <v>24.18491914999877</v>
      </c>
      <c r="I40" s="105">
        <f t="shared" ref="I40:I42" si="23">E40-H40</f>
        <v>-23.943069958498782</v>
      </c>
      <c r="J40" s="89">
        <f t="shared" si="3"/>
        <v>29826787</v>
      </c>
      <c r="K40" s="12">
        <f t="shared" si="9"/>
        <v>75.815080850001223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" si="24">E41</f>
        <v>7.1076534055531437E-2</v>
      </c>
      <c r="E41" s="14">
        <f t="shared" ref="E41:E42" si="25">F41/C41*100%</f>
        <v>7.1076534055531437E-2</v>
      </c>
      <c r="F41" s="106">
        <f>6786602+3106436+2575000+1023850+2000000+632698+1200000+2047000+3000000+4008704+5000000+5000000+1500000</f>
        <v>37880290</v>
      </c>
      <c r="G41" s="104">
        <f t="shared" si="21"/>
        <v>7.107653405553144</v>
      </c>
      <c r="H41" s="104">
        <f t="shared" si="22"/>
        <v>7.107653405553144</v>
      </c>
      <c r="I41" s="105">
        <f t="shared" si="23"/>
        <v>-7.0365768714976129</v>
      </c>
      <c r="J41" s="89">
        <f t="shared" si="3"/>
        <v>495070430</v>
      </c>
      <c r="K41" s="12">
        <f t="shared" si="9"/>
        <v>92.892346594446849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v>0</v>
      </c>
      <c r="E42" s="14">
        <f t="shared" si="25"/>
        <v>0.33155753583882214</v>
      </c>
      <c r="F42" s="106">
        <f>6200000+6200000+6200000+6200000+234000000+2710000+78000000+2790000</f>
        <v>342300000</v>
      </c>
      <c r="G42" s="104">
        <f t="shared" si="21"/>
        <v>33.155753583882216</v>
      </c>
      <c r="H42" s="104">
        <f t="shared" si="22"/>
        <v>33.155753583882216</v>
      </c>
      <c r="I42" s="105">
        <f t="shared" si="23"/>
        <v>-32.824196048043397</v>
      </c>
      <c r="J42" s="89">
        <f t="shared" si="3"/>
        <v>690100000</v>
      </c>
      <c r="K42" s="12">
        <f t="shared" si="9"/>
        <v>66.844246416117784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SUM(D44:D47)</f>
        <v>0.67569257199396149</v>
      </c>
      <c r="E43" s="39">
        <f>SUM(E44:E47)</f>
        <v>0.67569257199396149</v>
      </c>
      <c r="F43" s="37">
        <f>SUM(F44:F48)</f>
        <v>104318000</v>
      </c>
      <c r="G43" s="91">
        <f>SUM(G44:G61)</f>
        <v>397.00645692905925</v>
      </c>
      <c r="H43" s="91">
        <f>SUM(H44:H61)</f>
        <v>397.00645692905925</v>
      </c>
      <c r="I43" s="91">
        <f>E43-H43</f>
        <v>-396.33076435706528</v>
      </c>
      <c r="J43" s="52">
        <f t="shared" si="3"/>
        <v>400910000</v>
      </c>
      <c r="K43" s="51">
        <f t="shared" si="9"/>
        <v>79.352292430348285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0.17710196779964221</v>
      </c>
      <c r="E44" s="14">
        <f>F44/C44*100%</f>
        <v>0.17710196779964221</v>
      </c>
      <c r="F44" s="107">
        <f>3920000+560000+5000000+4000000+1750000+1920000+2600000+2885000+520000+4100000+4375000+5000000</f>
        <v>36630000</v>
      </c>
      <c r="G44" s="104">
        <f t="shared" ref="G44:G48" si="26">H44</f>
        <v>17.710196779964221</v>
      </c>
      <c r="H44" s="104">
        <f t="shared" ref="H44:H48" si="27">F44/C44*100</f>
        <v>17.710196779964221</v>
      </c>
      <c r="I44" s="118">
        <f t="shared" ref="I44:I47" si="28">E44-H44</f>
        <v>-17.533094812164578</v>
      </c>
      <c r="J44" s="89">
        <f t="shared" si="3"/>
        <v>170200000</v>
      </c>
      <c r="K44" s="12">
        <f t="shared" si="9"/>
        <v>82.289803220035779</v>
      </c>
      <c r="L44" s="16"/>
    </row>
    <row r="45" spans="1:14" ht="37.15" customHeight="1">
      <c r="A45" s="15"/>
      <c r="B45" s="136" t="s">
        <v>73</v>
      </c>
      <c r="C45" s="24">
        <v>9240000</v>
      </c>
      <c r="D45" s="14">
        <f t="shared" ref="D45:D48" si="29">E45</f>
        <v>0</v>
      </c>
      <c r="E45" s="14">
        <f t="shared" ref="E45:E48" si="30">F45/C45*100%</f>
        <v>0</v>
      </c>
      <c r="F45" s="107">
        <v>0</v>
      </c>
      <c r="G45" s="104">
        <f t="shared" si="26"/>
        <v>0</v>
      </c>
      <c r="H45" s="104">
        <f t="shared" si="27"/>
        <v>0</v>
      </c>
      <c r="I45" s="118">
        <f t="shared" si="28"/>
        <v>0</v>
      </c>
      <c r="J45" s="89">
        <f t="shared" si="3"/>
        <v>9240000</v>
      </c>
      <c r="K45" s="12">
        <f t="shared" si="9"/>
        <v>100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0.20954862570395899</v>
      </c>
      <c r="E46" s="14">
        <f t="shared" si="30"/>
        <v>0.20954862570395899</v>
      </c>
      <c r="F46" s="107">
        <f>2640000+550000+6070000+1000000+1050000+4060000+730000+5830000+1540000+1460000</f>
        <v>24930000</v>
      </c>
      <c r="G46" s="104">
        <f t="shared" si="26"/>
        <v>20.9548625703959</v>
      </c>
      <c r="H46" s="104">
        <f t="shared" si="27"/>
        <v>20.9548625703959</v>
      </c>
      <c r="I46" s="105">
        <f t="shared" si="28"/>
        <v>-20.74531394469194</v>
      </c>
      <c r="J46" s="89">
        <f t="shared" si="3"/>
        <v>94040000</v>
      </c>
      <c r="K46" s="12">
        <f t="shared" si="9"/>
        <v>79.045137429604111</v>
      </c>
      <c r="L46" s="16"/>
    </row>
    <row r="47" spans="1:14" ht="19.149999999999999" customHeight="1">
      <c r="A47" s="15"/>
      <c r="B47" s="63" t="s">
        <v>42</v>
      </c>
      <c r="C47" s="24">
        <v>80708000</v>
      </c>
      <c r="D47" s="14">
        <f t="shared" si="29"/>
        <v>0.28904197849036029</v>
      </c>
      <c r="E47" s="14">
        <f t="shared" si="30"/>
        <v>0.28904197849036029</v>
      </c>
      <c r="F47" s="107">
        <v>23328000</v>
      </c>
      <c r="G47" s="104">
        <f t="shared" si="26"/>
        <v>28.904197849036027</v>
      </c>
      <c r="H47" s="104">
        <f t="shared" si="27"/>
        <v>28.904197849036027</v>
      </c>
      <c r="I47" s="105">
        <f t="shared" si="28"/>
        <v>-28.615155870545667</v>
      </c>
      <c r="J47" s="89">
        <f t="shared" si="3"/>
        <v>57380000</v>
      </c>
      <c r="K47" s="12">
        <f t="shared" si="9"/>
        <v>71.095802150963976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0.21714349575324096</v>
      </c>
      <c r="E48" s="14">
        <f t="shared" si="30"/>
        <v>0.21714349575324096</v>
      </c>
      <c r="F48" s="107">
        <f>15390000+4040000</f>
        <v>19430000</v>
      </c>
      <c r="G48" s="104">
        <f t="shared" si="26"/>
        <v>21.714349575324096</v>
      </c>
      <c r="H48" s="104">
        <f t="shared" si="27"/>
        <v>21.714349575324096</v>
      </c>
      <c r="I48" s="105">
        <f>E48-H48</f>
        <v>-21.497206079570855</v>
      </c>
      <c r="J48" s="89">
        <f t="shared" si="3"/>
        <v>70050000</v>
      </c>
      <c r="K48" s="12">
        <f t="shared" si="9"/>
        <v>78.285650424675907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</v>
      </c>
      <c r="E49" s="67">
        <f>E50</f>
        <v>0</v>
      </c>
      <c r="F49" s="67">
        <f>F50+F52</f>
        <v>24000000</v>
      </c>
      <c r="G49" s="67">
        <f t="shared" ref="G49:I49" si="31">G50</f>
        <v>0</v>
      </c>
      <c r="H49" s="67">
        <f t="shared" si="31"/>
        <v>0</v>
      </c>
      <c r="I49" s="67">
        <f t="shared" si="31"/>
        <v>0</v>
      </c>
      <c r="J49" s="59">
        <f t="shared" si="3"/>
        <v>174012940</v>
      </c>
      <c r="K49" s="58">
        <f t="shared" si="9"/>
        <v>87.879579991085436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</v>
      </c>
      <c r="E50" s="109">
        <f>SUM(E51:E51)</f>
        <v>0</v>
      </c>
      <c r="F50" s="110">
        <f>SUM(F51)</f>
        <v>0</v>
      </c>
      <c r="G50" s="110">
        <f t="shared" ref="G50:I50" si="32">SUM(G51)</f>
        <v>0</v>
      </c>
      <c r="H50" s="110">
        <f t="shared" si="32"/>
        <v>0</v>
      </c>
      <c r="I50" s="110">
        <f t="shared" si="32"/>
        <v>0</v>
      </c>
      <c r="J50" s="52">
        <f t="shared" si="3"/>
        <v>49535000</v>
      </c>
      <c r="K50" s="51">
        <f t="shared" si="9"/>
        <v>100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</v>
      </c>
      <c r="E51" s="108">
        <f>F51/C51*100%</f>
        <v>0</v>
      </c>
      <c r="F51" s="107">
        <v>0</v>
      </c>
      <c r="G51" s="111">
        <f>H51</f>
        <v>0</v>
      </c>
      <c r="H51" s="111">
        <f>F51/C51*100</f>
        <v>0</v>
      </c>
      <c r="I51" s="108">
        <f>E51-H51</f>
        <v>0</v>
      </c>
      <c r="J51" s="89">
        <f t="shared" si="3"/>
        <v>49535000</v>
      </c>
      <c r="K51" s="12">
        <f t="shared" si="9"/>
        <v>100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SUM(D53)</f>
        <v>0</v>
      </c>
      <c r="E52" s="39">
        <f>E53</f>
        <v>0</v>
      </c>
      <c r="F52" s="37">
        <f>SUM(F53:F54)</f>
        <v>24000000</v>
      </c>
      <c r="G52" s="37">
        <f t="shared" ref="G52:I52" si="34">SUM(G53:G54)</f>
        <v>18.181818181818183</v>
      </c>
      <c r="H52" s="37">
        <f t="shared" si="34"/>
        <v>18.181818181818183</v>
      </c>
      <c r="I52" s="37">
        <f t="shared" si="34"/>
        <v>-18</v>
      </c>
      <c r="J52" s="52">
        <f t="shared" si="3"/>
        <v>124477940</v>
      </c>
      <c r="K52" s="51">
        <f t="shared" si="9"/>
        <v>83.835982638228955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16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0.18181818181818182</v>
      </c>
      <c r="E54" s="108">
        <f>F54/C54*100%</f>
        <v>0.18181818181818182</v>
      </c>
      <c r="F54" s="107">
        <f>6000000+6000000+6000000+6000000</f>
        <v>24000000</v>
      </c>
      <c r="G54" s="111">
        <f>H54</f>
        <v>18.181818181818183</v>
      </c>
      <c r="H54" s="111">
        <f>F54/C54*100</f>
        <v>18.181818181818183</v>
      </c>
      <c r="I54" s="108">
        <f>E54-H54</f>
        <v>-18</v>
      </c>
      <c r="J54" s="89">
        <f t="shared" si="3"/>
        <v>108000000</v>
      </c>
      <c r="K54" s="12">
        <f t="shared" si="9"/>
        <v>81.818181818181827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0.90453071263567542</v>
      </c>
      <c r="E55" s="79">
        <f>E56</f>
        <v>0.90453071263567542</v>
      </c>
      <c r="F55" s="113">
        <f>F56+F60</f>
        <v>539127850</v>
      </c>
      <c r="G55" s="113">
        <f t="shared" ref="G55:I55" si="36">G56+G60</f>
        <v>90.453071263567551</v>
      </c>
      <c r="H55" s="113">
        <f t="shared" si="36"/>
        <v>90.453071263567551</v>
      </c>
      <c r="I55" s="113">
        <f t="shared" si="36"/>
        <v>-89.548540550931875</v>
      </c>
      <c r="J55" s="59">
        <f t="shared" si="3"/>
        <v>5326273724</v>
      </c>
      <c r="K55" s="58">
        <f t="shared" si="9"/>
        <v>90.808338641469462</v>
      </c>
      <c r="L55" s="77"/>
    </row>
    <row r="56" spans="1:14" ht="29.45" customHeight="1">
      <c r="A56" s="69" t="s">
        <v>91</v>
      </c>
      <c r="B56" s="138" t="s">
        <v>75</v>
      </c>
      <c r="C56" s="139">
        <f>C57+C58+C59</f>
        <v>5786321644</v>
      </c>
      <c r="D56" s="114">
        <f>D57+D58+D59</f>
        <v>0.90453071263567542</v>
      </c>
      <c r="E56" s="114">
        <f>E57+E58+E59</f>
        <v>0.90453071263567542</v>
      </c>
      <c r="F56" s="140">
        <f>F57+F58+F59</f>
        <v>539127850</v>
      </c>
      <c r="G56" s="140">
        <f t="shared" ref="G56:I56" si="37">G57+G58+G59</f>
        <v>90.453071263567551</v>
      </c>
      <c r="H56" s="140">
        <f t="shared" si="37"/>
        <v>90.453071263567551</v>
      </c>
      <c r="I56" s="140">
        <f t="shared" si="37"/>
        <v>-89.548540550931875</v>
      </c>
      <c r="J56" s="52">
        <f>C56-F56</f>
        <v>5247193794</v>
      </c>
      <c r="K56" s="51">
        <f t="shared" si="9"/>
        <v>90.682718950491861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0.81491079690457535</v>
      </c>
      <c r="E57" s="108">
        <f>F57/C57*100%</f>
        <v>0.81491079690457535</v>
      </c>
      <c r="F57" s="107">
        <f>12811000+10988000+10857940+8474300+11962442+9826442+10322702+14165000+14047965+9530000+10934732+12511000</f>
        <v>136431523</v>
      </c>
      <c r="G57" s="111">
        <f>H57</f>
        <v>81.491079690457539</v>
      </c>
      <c r="H57" s="111">
        <f>F57/C57*100</f>
        <v>81.491079690457539</v>
      </c>
      <c r="I57" s="108">
        <f>E57-H57</f>
        <v>-80.676168893552969</v>
      </c>
      <c r="J57" s="122">
        <f>C57-F57</f>
        <v>30987443</v>
      </c>
      <c r="K57" s="123">
        <f t="shared" si="9"/>
        <v>18.508920309542468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8">E58</f>
        <v>0</v>
      </c>
      <c r="E58" s="108">
        <f t="shared" ref="E58:E59" si="39">F58/C58*100%</f>
        <v>0</v>
      </c>
      <c r="F58" s="107">
        <v>0</v>
      </c>
      <c r="G58" s="111">
        <f t="shared" ref="G58:G59" si="40">H58</f>
        <v>0</v>
      </c>
      <c r="H58" s="111">
        <f t="shared" ref="H58:H59" si="41">F58/C58*100</f>
        <v>0</v>
      </c>
      <c r="I58" s="108">
        <f t="shared" ref="I58:I59" si="42">E58-H58</f>
        <v>0</v>
      </c>
      <c r="J58" s="122">
        <f t="shared" ref="J58:J59" si="43">C58-F58</f>
        <v>1125522789</v>
      </c>
      <c r="K58" s="123">
        <f t="shared" si="9"/>
        <v>100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8"/>
        <v>8.9619915731100119E-2</v>
      </c>
      <c r="E59" s="108">
        <f t="shared" si="39"/>
        <v>8.9619915731100119E-2</v>
      </c>
      <c r="F59" s="107">
        <f>47710000+42763636+28800000+56250000+33600000+93150000+12708191+2574500+13500000+37500000+34140000</f>
        <v>402696327</v>
      </c>
      <c r="G59" s="111">
        <f t="shared" si="40"/>
        <v>8.9619915731100122</v>
      </c>
      <c r="H59" s="111">
        <f t="shared" si="41"/>
        <v>8.9619915731100122</v>
      </c>
      <c r="I59" s="108">
        <f t="shared" si="42"/>
        <v>-8.8723716573789115</v>
      </c>
      <c r="J59" s="122">
        <f t="shared" si="43"/>
        <v>4090683562</v>
      </c>
      <c r="K59" s="123">
        <f t="shared" si="9"/>
        <v>91.038008426889988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4">F60</f>
        <v>0</v>
      </c>
      <c r="H60" s="109">
        <f t="shared" si="44"/>
        <v>0</v>
      </c>
      <c r="I60" s="109">
        <f t="shared" si="44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5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16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5"/>
        <v>0</v>
      </c>
      <c r="E62" s="108">
        <f t="shared" ref="E62:E63" si="46">F62/C62*100%</f>
        <v>0</v>
      </c>
      <c r="F62" s="107">
        <v>0</v>
      </c>
      <c r="G62" s="111">
        <f t="shared" ref="G62:G63" si="47">H62</f>
        <v>0</v>
      </c>
      <c r="H62" s="111">
        <f t="shared" ref="H62:H63" si="48">F62/C62*100</f>
        <v>0</v>
      </c>
      <c r="I62" s="108">
        <f t="shared" ref="I62:I63" si="49">E62-H62</f>
        <v>0</v>
      </c>
      <c r="J62" s="89">
        <f t="shared" si="3"/>
        <v>15600000</v>
      </c>
      <c r="K62" s="12">
        <f t="shared" si="9"/>
        <v>100</v>
      </c>
      <c r="L62" s="18"/>
    </row>
    <row r="63" spans="1:14" ht="19.149999999999999" customHeight="1">
      <c r="A63" s="18"/>
      <c r="B63" s="34" t="s">
        <v>70</v>
      </c>
      <c r="C63" s="20">
        <v>24109818</v>
      </c>
      <c r="D63" s="14">
        <f t="shared" si="45"/>
        <v>0</v>
      </c>
      <c r="E63" s="108">
        <f t="shared" si="46"/>
        <v>0</v>
      </c>
      <c r="F63" s="107">
        <v>0</v>
      </c>
      <c r="G63" s="111">
        <f t="shared" si="47"/>
        <v>0</v>
      </c>
      <c r="H63" s="111">
        <f t="shared" si="48"/>
        <v>0</v>
      </c>
      <c r="I63" s="108">
        <f t="shared" si="49"/>
        <v>0</v>
      </c>
      <c r="J63" s="89">
        <f t="shared" si="3"/>
        <v>24109818</v>
      </c>
      <c r="K63" s="12">
        <f t="shared" si="9"/>
        <v>100</v>
      </c>
      <c r="L63" s="18"/>
    </row>
    <row r="64" spans="1:14" ht="19.149999999999999" customHeight="1">
      <c r="A64" s="190" t="s">
        <v>82</v>
      </c>
      <c r="B64" s="76" t="s">
        <v>137</v>
      </c>
      <c r="C64" s="196">
        <f>C65</f>
        <v>1400000000</v>
      </c>
      <c r="D64" s="191">
        <f>D65</f>
        <v>0</v>
      </c>
      <c r="E64" s="191">
        <f t="shared" ref="E64:L64" si="50">E65</f>
        <v>0</v>
      </c>
      <c r="F64" s="191">
        <f t="shared" si="50"/>
        <v>5420000</v>
      </c>
      <c r="G64" s="191">
        <f t="shared" si="50"/>
        <v>1.5089118365364071</v>
      </c>
      <c r="H64" s="191">
        <f t="shared" si="50"/>
        <v>1.5089118365364071</v>
      </c>
      <c r="I64" s="191">
        <f t="shared" si="50"/>
        <v>1.5089118365364071</v>
      </c>
      <c r="J64" s="191">
        <f t="shared" si="50"/>
        <v>1394580000</v>
      </c>
      <c r="K64" s="191">
        <f t="shared" si="50"/>
        <v>99.612857142857152</v>
      </c>
      <c r="L64" s="191">
        <f t="shared" si="50"/>
        <v>0</v>
      </c>
    </row>
    <row r="65" spans="1:12" ht="19.149999999999999" customHeight="1">
      <c r="A65" s="192" t="s">
        <v>93</v>
      </c>
      <c r="B65" s="29" t="s">
        <v>142</v>
      </c>
      <c r="C65" s="195">
        <f>C66+C67</f>
        <v>1400000000</v>
      </c>
      <c r="D65" s="38">
        <f>D66</f>
        <v>0</v>
      </c>
      <c r="E65" s="109">
        <f>D65</f>
        <v>0</v>
      </c>
      <c r="F65" s="109">
        <f>F66+F67</f>
        <v>5420000</v>
      </c>
      <c r="G65" s="197">
        <f>G66+G67</f>
        <v>1.5089118365364071</v>
      </c>
      <c r="H65" s="109">
        <f t="shared" ref="H65" si="51">G65</f>
        <v>1.5089118365364071</v>
      </c>
      <c r="I65" s="109">
        <f t="shared" ref="I65" si="52">H65</f>
        <v>1.5089118365364071</v>
      </c>
      <c r="J65" s="52">
        <f t="shared" ref="J65" si="53">C65-F65</f>
        <v>1394580000</v>
      </c>
      <c r="K65" s="51">
        <f t="shared" ref="K65" si="54">J65/C65*100</f>
        <v>99.612857142857152</v>
      </c>
      <c r="L65" s="73"/>
    </row>
    <row r="66" spans="1:12" ht="36" customHeight="1">
      <c r="A66" s="189"/>
      <c r="B66" s="194" t="s">
        <v>143</v>
      </c>
      <c r="C66" s="188">
        <v>1040800750</v>
      </c>
      <c r="D66" s="14">
        <f t="shared" ref="D66:D67" si="55">E66</f>
        <v>0</v>
      </c>
      <c r="E66" s="108">
        <f>F66/C66*100%</f>
        <v>0</v>
      </c>
      <c r="F66" s="107">
        <v>0</v>
      </c>
      <c r="G66" s="111">
        <f>H66</f>
        <v>0</v>
      </c>
      <c r="H66" s="111">
        <f>F66/C66*100</f>
        <v>0</v>
      </c>
      <c r="I66" s="108">
        <f>E66-H66</f>
        <v>0</v>
      </c>
      <c r="J66" s="89">
        <f t="shared" ref="J66:J67" si="56">C66-F66</f>
        <v>1040800750</v>
      </c>
      <c r="K66" s="12">
        <f t="shared" ref="K66:K67" si="57">J66/C66*100</f>
        <v>100</v>
      </c>
      <c r="L66" s="16"/>
    </row>
    <row r="67" spans="1:12" ht="19.149999999999999" customHeight="1">
      <c r="A67" s="189"/>
      <c r="B67" s="193" t="s">
        <v>144</v>
      </c>
      <c r="C67" s="188">
        <v>359199250</v>
      </c>
      <c r="D67" s="14">
        <f t="shared" si="55"/>
        <v>1.5089118365364071E-2</v>
      </c>
      <c r="E67" s="108">
        <f t="shared" ref="E67" si="58">F67/C67*100%</f>
        <v>1.5089118365364071E-2</v>
      </c>
      <c r="F67" s="107">
        <v>5420000</v>
      </c>
      <c r="G67" s="111">
        <f t="shared" ref="G67" si="59">H67</f>
        <v>1.5089118365364071</v>
      </c>
      <c r="H67" s="111">
        <f t="shared" ref="H67" si="60">F67/C67*100</f>
        <v>1.5089118365364071</v>
      </c>
      <c r="I67" s="108">
        <f t="shared" ref="I67" si="61">E67-H67</f>
        <v>-1.4938227181710431</v>
      </c>
      <c r="J67" s="89">
        <f t="shared" si="56"/>
        <v>353779250</v>
      </c>
      <c r="K67" s="12">
        <f t="shared" si="57"/>
        <v>98.491088163463587</v>
      </c>
      <c r="L67" s="18"/>
    </row>
    <row r="68" spans="1:12" s="27" customFormat="1" ht="19.149999999999999" customHeight="1">
      <c r="A68" s="65" t="s">
        <v>138</v>
      </c>
      <c r="B68" s="76" t="s">
        <v>51</v>
      </c>
      <c r="C68" s="78">
        <f>C69</f>
        <v>300631000</v>
      </c>
      <c r="D68" s="79">
        <f>D69</f>
        <v>0.38945437775829966</v>
      </c>
      <c r="E68" s="79"/>
      <c r="F68" s="80">
        <f>F69</f>
        <v>33560800</v>
      </c>
      <c r="G68" s="80">
        <f t="shared" ref="G68:I68" si="62">G69</f>
        <v>38.945437775829966</v>
      </c>
      <c r="H68" s="80">
        <f t="shared" si="62"/>
        <v>38.945437775829966</v>
      </c>
      <c r="I68" s="80">
        <f t="shared" si="62"/>
        <v>-38.555983398071668</v>
      </c>
      <c r="J68" s="59">
        <f t="shared" si="3"/>
        <v>267070200</v>
      </c>
      <c r="K68" s="58">
        <f t="shared" si="9"/>
        <v>88.836547129204902</v>
      </c>
      <c r="L68" s="82"/>
    </row>
    <row r="69" spans="1:12" ht="37.15" customHeight="1">
      <c r="A69" s="70" t="s">
        <v>139</v>
      </c>
      <c r="B69" s="119" t="s">
        <v>71</v>
      </c>
      <c r="C69" s="84">
        <f>SUM(C70:C72)</f>
        <v>300631000</v>
      </c>
      <c r="D69" s="114">
        <f>SUM(D70:D72)</f>
        <v>0.38945437775829966</v>
      </c>
      <c r="E69" s="114">
        <f>SUM(E70:E72)</f>
        <v>0.38945437775829966</v>
      </c>
      <c r="F69" s="114">
        <f>SUM(F70:F72)</f>
        <v>33560800</v>
      </c>
      <c r="G69" s="114">
        <f t="shared" ref="G69:I69" si="63">SUM(G70:G72)</f>
        <v>38.945437775829966</v>
      </c>
      <c r="H69" s="114">
        <f t="shared" si="63"/>
        <v>38.945437775829966</v>
      </c>
      <c r="I69" s="114">
        <f t="shared" si="63"/>
        <v>-38.555983398071668</v>
      </c>
      <c r="J69" s="52">
        <f t="shared" si="3"/>
        <v>267070200</v>
      </c>
      <c r="K69" s="51">
        <f t="shared" si="9"/>
        <v>88.836547129204902</v>
      </c>
      <c r="L69" s="83"/>
    </row>
    <row r="70" spans="1:12" ht="76.150000000000006" customHeight="1">
      <c r="A70" s="43"/>
      <c r="B70" s="64" t="s">
        <v>52</v>
      </c>
      <c r="C70" s="26">
        <v>99126000</v>
      </c>
      <c r="D70" s="14">
        <f t="shared" ref="D70:D72" si="64">E70</f>
        <v>0</v>
      </c>
      <c r="E70" s="108">
        <f>F70/C70*100%</f>
        <v>0</v>
      </c>
      <c r="F70" s="115">
        <v>0</v>
      </c>
      <c r="G70" s="116">
        <f>H70</f>
        <v>0</v>
      </c>
      <c r="H70" s="116">
        <f>F70/C70*100</f>
        <v>0</v>
      </c>
      <c r="I70" s="108">
        <f>E70-H70</f>
        <v>0</v>
      </c>
      <c r="J70" s="89">
        <f t="shared" si="3"/>
        <v>99126000</v>
      </c>
      <c r="K70" s="12">
        <f t="shared" si="9"/>
        <v>100</v>
      </c>
      <c r="L70" s="19"/>
    </row>
    <row r="71" spans="1:12" ht="48" customHeight="1">
      <c r="A71" s="41"/>
      <c r="B71" s="64" t="s">
        <v>53</v>
      </c>
      <c r="C71" s="26">
        <v>163575000</v>
      </c>
      <c r="D71" s="14">
        <f t="shared" si="64"/>
        <v>0.14953874369555251</v>
      </c>
      <c r="E71" s="108">
        <f t="shared" ref="E71:E72" si="65">F71/C71*100%</f>
        <v>0.14953874369555251</v>
      </c>
      <c r="F71" s="115">
        <f>24460800</f>
        <v>24460800</v>
      </c>
      <c r="G71" s="116">
        <f t="shared" ref="G71:G72" si="66">H71</f>
        <v>14.953874369555251</v>
      </c>
      <c r="H71" s="116">
        <f t="shared" ref="H71:H72" si="67">F71/C71*100</f>
        <v>14.953874369555251</v>
      </c>
      <c r="I71" s="108">
        <f t="shared" ref="I71:I72" si="68">E71-H71</f>
        <v>-14.804335625859698</v>
      </c>
      <c r="J71" s="89">
        <f t="shared" si="3"/>
        <v>139114200</v>
      </c>
      <c r="K71" s="12">
        <f t="shared" si="9"/>
        <v>85.046125630444749</v>
      </c>
      <c r="L71" s="19"/>
    </row>
    <row r="72" spans="1:12" ht="19.149999999999999" customHeight="1">
      <c r="A72" s="15"/>
      <c r="B72" s="63" t="s">
        <v>54</v>
      </c>
      <c r="C72" s="26">
        <v>37930000</v>
      </c>
      <c r="D72" s="124">
        <f t="shared" si="64"/>
        <v>0.23991563406274716</v>
      </c>
      <c r="E72" s="108">
        <f t="shared" si="65"/>
        <v>0.23991563406274716</v>
      </c>
      <c r="F72" s="115">
        <v>9100000</v>
      </c>
      <c r="G72" s="116">
        <f t="shared" si="66"/>
        <v>23.991563406274715</v>
      </c>
      <c r="H72" s="116">
        <f t="shared" si="67"/>
        <v>23.991563406274715</v>
      </c>
      <c r="I72" s="108">
        <f t="shared" si="68"/>
        <v>-23.751647772211967</v>
      </c>
      <c r="J72" s="125">
        <f t="shared" si="3"/>
        <v>28830000</v>
      </c>
      <c r="K72" s="7">
        <f t="shared" si="9"/>
        <v>76.008436593725278</v>
      </c>
      <c r="L72" s="19"/>
    </row>
    <row r="73" spans="1:12">
      <c r="G73" s="117"/>
      <c r="H73" s="117"/>
    </row>
    <row r="74" spans="1:12">
      <c r="G74" s="117"/>
      <c r="H74" s="117"/>
    </row>
    <row r="75" spans="1:12">
      <c r="G75" s="117"/>
      <c r="H75" s="117"/>
    </row>
    <row r="76" spans="1:12">
      <c r="G76" s="117"/>
      <c r="H76" s="117"/>
    </row>
    <row r="77" spans="1:12">
      <c r="G77" s="117"/>
      <c r="H77" s="117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1:14">
      <c r="G81" s="117"/>
      <c r="H81" s="117"/>
    </row>
    <row r="82" spans="1:14">
      <c r="G82" s="117"/>
      <c r="H82" s="117"/>
    </row>
    <row r="83" spans="1:14">
      <c r="G83" s="117"/>
      <c r="H83" s="117"/>
    </row>
    <row r="84" spans="1:14">
      <c r="G84" s="117"/>
      <c r="H84" s="117"/>
    </row>
    <row r="85" spans="1:14" s="27" customFormat="1">
      <c r="A85"/>
      <c r="B85" s="33"/>
      <c r="C85" s="21"/>
      <c r="F85" s="93"/>
      <c r="G85" s="117"/>
      <c r="H85" s="117"/>
      <c r="J85"/>
      <c r="K85"/>
      <c r="L85"/>
      <c r="M85"/>
      <c r="N85"/>
    </row>
    <row r="86" spans="1:14" s="27" customFormat="1">
      <c r="A86"/>
      <c r="B86" s="33"/>
      <c r="C86" s="21"/>
      <c r="F86" s="93"/>
      <c r="G86" s="117"/>
      <c r="H86" s="117"/>
      <c r="J86"/>
      <c r="K86"/>
      <c r="L86"/>
      <c r="M86"/>
      <c r="N86"/>
    </row>
    <row r="87" spans="1:14" s="27" customFormat="1">
      <c r="A87"/>
      <c r="B87" s="33"/>
      <c r="C87" s="21"/>
      <c r="F87" s="93"/>
      <c r="G87" s="117"/>
      <c r="H87" s="117"/>
      <c r="J87"/>
      <c r="K87"/>
      <c r="L87"/>
      <c r="M87"/>
      <c r="N87"/>
    </row>
    <row r="88" spans="1:14" s="27" customFormat="1">
      <c r="A88"/>
      <c r="B88" s="33"/>
      <c r="C88" s="21"/>
      <c r="F88" s="93"/>
      <c r="G88" s="117"/>
      <c r="H88" s="117"/>
      <c r="J88"/>
      <c r="K88"/>
      <c r="L88"/>
      <c r="M88"/>
      <c r="N88"/>
    </row>
    <row r="89" spans="1:14" s="27" customFormat="1">
      <c r="A89"/>
      <c r="B89" s="33"/>
      <c r="C89" s="21"/>
      <c r="F89" s="93"/>
      <c r="G89" s="117"/>
      <c r="H89" s="117"/>
      <c r="J89"/>
      <c r="K89"/>
      <c r="L89"/>
      <c r="M89"/>
      <c r="N89"/>
    </row>
    <row r="90" spans="1:14" s="27" customFormat="1">
      <c r="A90"/>
      <c r="B90" s="33"/>
      <c r="C90" s="21"/>
      <c r="F90" s="93"/>
      <c r="G90" s="117"/>
      <c r="H90" s="117"/>
      <c r="J90"/>
      <c r="K90"/>
      <c r="L90"/>
      <c r="M90"/>
      <c r="N90"/>
    </row>
    <row r="91" spans="1:14" s="27" customFormat="1">
      <c r="A91"/>
      <c r="B91" s="33"/>
      <c r="C91" s="21"/>
      <c r="F91" s="93"/>
      <c r="G91" s="117"/>
      <c r="H91" s="117"/>
      <c r="J91"/>
      <c r="K91"/>
      <c r="L91"/>
      <c r="M91"/>
      <c r="N91"/>
    </row>
    <row r="92" spans="1:14" s="27" customFormat="1">
      <c r="A92"/>
      <c r="B92" s="33"/>
      <c r="C92" s="21"/>
      <c r="F92" s="93"/>
      <c r="G92" s="117"/>
      <c r="H92" s="117"/>
      <c r="J92"/>
      <c r="K92"/>
      <c r="L92"/>
      <c r="M92"/>
      <c r="N92"/>
    </row>
    <row r="93" spans="1:14" s="27" customFormat="1">
      <c r="A93"/>
      <c r="B93" s="33"/>
      <c r="C93" s="21"/>
      <c r="F93" s="93"/>
      <c r="G93" s="117"/>
      <c r="H93" s="117"/>
      <c r="J93"/>
      <c r="K93"/>
      <c r="L93"/>
      <c r="M93"/>
      <c r="N93"/>
    </row>
    <row r="94" spans="1:14" s="27" customFormat="1">
      <c r="A94"/>
      <c r="B94" s="33"/>
      <c r="C94" s="21"/>
      <c r="F94" s="93"/>
      <c r="G94" s="117"/>
      <c r="H94" s="117"/>
      <c r="J94"/>
      <c r="K94"/>
      <c r="L94"/>
      <c r="M94"/>
      <c r="N94"/>
    </row>
    <row r="95" spans="1:14" s="27" customFormat="1">
      <c r="A95"/>
      <c r="B95" s="33"/>
      <c r="C95" s="21"/>
      <c r="F95" s="93"/>
      <c r="G95" s="117"/>
      <c r="H95" s="117"/>
      <c r="J95"/>
      <c r="K95"/>
      <c r="L95"/>
      <c r="M95"/>
      <c r="N95"/>
    </row>
    <row r="96" spans="1:14" s="27" customFormat="1">
      <c r="A96"/>
      <c r="B96" s="33"/>
      <c r="C96" s="21"/>
      <c r="F96" s="93"/>
      <c r="G96" s="117"/>
      <c r="H96" s="117"/>
      <c r="J96"/>
      <c r="K96"/>
      <c r="L96"/>
      <c r="M96"/>
      <c r="N96"/>
    </row>
    <row r="97" spans="1:14" s="27" customFormat="1">
      <c r="A97"/>
      <c r="B97" s="33"/>
      <c r="C97" s="21"/>
      <c r="F97" s="93"/>
      <c r="G97" s="117"/>
      <c r="H97" s="117"/>
      <c r="J97"/>
      <c r="K97"/>
      <c r="L97"/>
      <c r="M97"/>
      <c r="N97"/>
    </row>
    <row r="98" spans="1:14" s="27" customFormat="1">
      <c r="A98"/>
      <c r="B98" s="33"/>
      <c r="C98" s="21"/>
      <c r="F98" s="93"/>
      <c r="G98" s="117"/>
      <c r="H98" s="117"/>
      <c r="J98"/>
      <c r="K98"/>
      <c r="L98"/>
      <c r="M98"/>
      <c r="N98"/>
    </row>
    <row r="99" spans="1:14" s="27" customFormat="1">
      <c r="A99"/>
      <c r="B99" s="33"/>
      <c r="C99" s="21"/>
      <c r="F99" s="93"/>
      <c r="G99" s="117"/>
      <c r="H99" s="117"/>
      <c r="J99"/>
      <c r="K99"/>
      <c r="L99"/>
      <c r="M99"/>
      <c r="N99"/>
    </row>
    <row r="100" spans="1:14" s="27" customFormat="1">
      <c r="A100"/>
      <c r="B100" s="33"/>
      <c r="C100" s="21"/>
      <c r="F100" s="93"/>
      <c r="G100" s="117"/>
      <c r="H100" s="117"/>
      <c r="J100"/>
      <c r="K100"/>
      <c r="L100"/>
      <c r="M100"/>
      <c r="N100"/>
    </row>
    <row r="101" spans="1:14" s="27" customFormat="1">
      <c r="A101"/>
      <c r="B101" s="33"/>
      <c r="C101" s="21"/>
      <c r="F101" s="93"/>
      <c r="G101" s="117"/>
      <c r="H101" s="117"/>
      <c r="J101"/>
      <c r="K101"/>
      <c r="L101"/>
      <c r="M101"/>
      <c r="N101"/>
    </row>
    <row r="102" spans="1:14" s="27" customFormat="1">
      <c r="A102"/>
      <c r="B102" s="33"/>
      <c r="C102" s="21"/>
      <c r="F102" s="93"/>
      <c r="G102" s="117"/>
      <c r="H102" s="117"/>
      <c r="J102"/>
      <c r="K102"/>
      <c r="L102"/>
      <c r="M102"/>
      <c r="N102"/>
    </row>
    <row r="103" spans="1:14" s="27" customFormat="1">
      <c r="A103"/>
      <c r="B103" s="33"/>
      <c r="C103" s="21"/>
      <c r="F103" s="93"/>
      <c r="G103" s="117"/>
      <c r="H103" s="117"/>
      <c r="J103"/>
      <c r="K103"/>
      <c r="L103"/>
      <c r="M103"/>
      <c r="N103"/>
    </row>
    <row r="104" spans="1:14" s="27" customFormat="1">
      <c r="A104"/>
      <c r="B104" s="33"/>
      <c r="C104" s="21"/>
      <c r="F104" s="93"/>
      <c r="G104" s="117"/>
      <c r="H104" s="117"/>
      <c r="J104"/>
      <c r="K104"/>
      <c r="L104"/>
      <c r="M104"/>
      <c r="N104"/>
    </row>
    <row r="105" spans="1:14" s="27" customFormat="1">
      <c r="A105"/>
      <c r="B105" s="33"/>
      <c r="C105" s="21"/>
      <c r="F105" s="93"/>
      <c r="G105" s="117"/>
      <c r="H105" s="117"/>
      <c r="J105"/>
      <c r="K105"/>
      <c r="L105"/>
      <c r="M105"/>
      <c r="N105"/>
    </row>
    <row r="106" spans="1:14" s="27" customFormat="1">
      <c r="A106"/>
      <c r="B106" s="33"/>
      <c r="C106" s="21"/>
      <c r="F106" s="93"/>
      <c r="G106" s="117"/>
      <c r="H106" s="117"/>
      <c r="J106"/>
      <c r="K106"/>
      <c r="L106"/>
      <c r="M106"/>
      <c r="N106"/>
    </row>
    <row r="107" spans="1:14" s="27" customFormat="1">
      <c r="A107"/>
      <c r="B107" s="33"/>
      <c r="C107" s="21"/>
      <c r="F107" s="93"/>
      <c r="G107" s="117"/>
      <c r="H107" s="117"/>
      <c r="J107"/>
      <c r="K107"/>
      <c r="L107"/>
      <c r="M107"/>
      <c r="N107"/>
    </row>
    <row r="108" spans="1:14" s="27" customFormat="1">
      <c r="A108"/>
      <c r="B108" s="33"/>
      <c r="C108" s="21"/>
      <c r="F108" s="93"/>
      <c r="G108" s="117"/>
      <c r="H108" s="117"/>
      <c r="J108"/>
      <c r="K108"/>
      <c r="L108"/>
      <c r="M108"/>
      <c r="N108"/>
    </row>
    <row r="109" spans="1:14" s="27" customFormat="1">
      <c r="A109"/>
      <c r="B109" s="33"/>
      <c r="C109" s="21"/>
      <c r="F109" s="93"/>
      <c r="G109" s="117"/>
      <c r="H109" s="117"/>
      <c r="J109"/>
      <c r="K109"/>
      <c r="L109"/>
      <c r="M109"/>
      <c r="N109"/>
    </row>
    <row r="110" spans="1:14" s="27" customFormat="1">
      <c r="A110"/>
      <c r="B110" s="33"/>
      <c r="C110" s="21"/>
      <c r="F110" s="93"/>
      <c r="G110" s="117"/>
      <c r="H110" s="117"/>
      <c r="J110"/>
      <c r="K110"/>
      <c r="L110"/>
      <c r="M110"/>
      <c r="N110"/>
    </row>
    <row r="111" spans="1:14" s="27" customFormat="1">
      <c r="A111"/>
      <c r="B111" s="33"/>
      <c r="C111" s="21"/>
      <c r="F111" s="93"/>
      <c r="G111" s="117"/>
      <c r="H111" s="117"/>
      <c r="J111"/>
      <c r="K111"/>
      <c r="L111"/>
      <c r="M111"/>
      <c r="N111"/>
    </row>
    <row r="112" spans="1:14" s="27" customFormat="1">
      <c r="A112"/>
      <c r="B112" s="33"/>
      <c r="C112" s="21"/>
      <c r="F112" s="93"/>
      <c r="G112" s="117"/>
      <c r="H112" s="117"/>
      <c r="J112"/>
      <c r="K112"/>
      <c r="L112"/>
      <c r="M112"/>
      <c r="N112"/>
    </row>
    <row r="113" spans="1:14" s="27" customFormat="1">
      <c r="A113"/>
      <c r="B113" s="33"/>
      <c r="C113" s="21"/>
      <c r="F113" s="93"/>
      <c r="G113" s="117"/>
      <c r="H113" s="117"/>
      <c r="J113"/>
      <c r="K113"/>
      <c r="L113"/>
      <c r="M113"/>
      <c r="N113"/>
    </row>
    <row r="114" spans="1:14" s="27" customFormat="1">
      <c r="A114"/>
      <c r="B114" s="33"/>
      <c r="C114" s="21"/>
      <c r="F114" s="93"/>
      <c r="G114" s="117"/>
      <c r="H114" s="117"/>
      <c r="J114"/>
      <c r="K114"/>
      <c r="L114"/>
      <c r="M114"/>
      <c r="N114"/>
    </row>
    <row r="115" spans="1:14" s="27" customFormat="1">
      <c r="A115"/>
      <c r="B115" s="33"/>
      <c r="C115" s="21"/>
      <c r="F115" s="93"/>
      <c r="G115" s="117"/>
      <c r="H115" s="117"/>
      <c r="J115"/>
      <c r="K115"/>
      <c r="L115"/>
      <c r="M115"/>
      <c r="N115"/>
    </row>
    <row r="116" spans="1:14" s="27" customFormat="1">
      <c r="A116"/>
      <c r="B116" s="33"/>
      <c r="C116" s="21"/>
      <c r="F116" s="93"/>
      <c r="G116" s="117"/>
      <c r="H116" s="117"/>
      <c r="J116"/>
      <c r="K116"/>
      <c r="L116"/>
      <c r="M116"/>
      <c r="N116"/>
    </row>
    <row r="117" spans="1:14" s="27" customFormat="1">
      <c r="A117"/>
      <c r="B117" s="33"/>
      <c r="C117" s="21"/>
      <c r="F117" s="93"/>
      <c r="G117" s="117"/>
      <c r="H117" s="117"/>
      <c r="J117"/>
      <c r="K117"/>
      <c r="L117"/>
      <c r="M117"/>
      <c r="N117"/>
    </row>
    <row r="118" spans="1:14" s="27" customFormat="1">
      <c r="A118"/>
      <c r="B118" s="33"/>
      <c r="C118" s="21"/>
      <c r="F118" s="93"/>
      <c r="G118" s="117"/>
      <c r="H118" s="117"/>
      <c r="J118"/>
      <c r="K118"/>
      <c r="L118"/>
      <c r="M118"/>
      <c r="N118"/>
    </row>
    <row r="119" spans="1:14" s="27" customFormat="1">
      <c r="A119"/>
      <c r="B119" s="33"/>
      <c r="C119" s="21"/>
      <c r="F119" s="93"/>
      <c r="G119" s="117"/>
      <c r="H119" s="117"/>
      <c r="J119"/>
      <c r="K119"/>
      <c r="L119"/>
      <c r="M119"/>
      <c r="N119"/>
    </row>
    <row r="120" spans="1:14" s="27" customFormat="1">
      <c r="A120"/>
      <c r="B120" s="33"/>
      <c r="C120" s="21"/>
      <c r="F120" s="93"/>
      <c r="G120" s="117"/>
      <c r="H120" s="117"/>
      <c r="J120"/>
      <c r="K120"/>
      <c r="L120"/>
      <c r="M120"/>
      <c r="N120"/>
    </row>
    <row r="121" spans="1:14" s="27" customFormat="1">
      <c r="A121"/>
      <c r="B121" s="33"/>
      <c r="C121" s="21"/>
      <c r="F121" s="93"/>
      <c r="G121" s="117"/>
      <c r="H121" s="117"/>
      <c r="J121"/>
      <c r="K121"/>
      <c r="L121"/>
      <c r="M121"/>
      <c r="N121"/>
    </row>
    <row r="122" spans="1:14" s="27" customFormat="1">
      <c r="A122"/>
      <c r="B122" s="33"/>
      <c r="C122" s="21"/>
      <c r="F122" s="93"/>
      <c r="G122" s="117"/>
      <c r="H122" s="117"/>
      <c r="J122"/>
      <c r="K122"/>
      <c r="L122"/>
      <c r="M122"/>
      <c r="N122"/>
    </row>
    <row r="123" spans="1:14" s="27" customFormat="1">
      <c r="A123"/>
      <c r="B123" s="33"/>
      <c r="C123" s="21"/>
      <c r="F123" s="93"/>
      <c r="G123" s="117"/>
      <c r="H123" s="117"/>
      <c r="J123"/>
      <c r="K123"/>
      <c r="L123"/>
      <c r="M123"/>
      <c r="N123"/>
    </row>
    <row r="124" spans="1:14" s="27" customFormat="1">
      <c r="A124"/>
      <c r="B124" s="33"/>
      <c r="C124" s="21"/>
      <c r="F124" s="93"/>
      <c r="G124" s="117"/>
      <c r="H124" s="117"/>
      <c r="J124"/>
      <c r="K124"/>
      <c r="L124"/>
      <c r="M124"/>
      <c r="N124"/>
    </row>
    <row r="125" spans="1:14" s="27" customFormat="1">
      <c r="A125"/>
      <c r="B125" s="33"/>
      <c r="C125" s="21"/>
      <c r="F125" s="93"/>
      <c r="G125" s="117"/>
      <c r="H125" s="117"/>
      <c r="J125"/>
      <c r="K125"/>
      <c r="L125"/>
      <c r="M125"/>
      <c r="N125"/>
    </row>
    <row r="126" spans="1:14" s="27" customFormat="1">
      <c r="A126"/>
      <c r="B126" s="33"/>
      <c r="C126" s="21"/>
      <c r="F126" s="93"/>
      <c r="G126" s="117"/>
      <c r="H126" s="117"/>
      <c r="J126"/>
      <c r="K126"/>
      <c r="L126"/>
      <c r="M126"/>
      <c r="N126"/>
    </row>
    <row r="127" spans="1:14" s="27" customFormat="1">
      <c r="A127"/>
      <c r="B127" s="33"/>
      <c r="C127" s="21"/>
      <c r="F127" s="93"/>
      <c r="G127" s="117"/>
      <c r="H127" s="117"/>
      <c r="J127"/>
      <c r="K127"/>
      <c r="L127"/>
      <c r="M127"/>
      <c r="N127"/>
    </row>
    <row r="128" spans="1:14" s="27" customFormat="1">
      <c r="A128"/>
      <c r="B128" s="33"/>
      <c r="C128" s="21"/>
      <c r="F128" s="93"/>
      <c r="G128" s="117"/>
      <c r="H128" s="117"/>
      <c r="J128"/>
      <c r="K128"/>
      <c r="L128"/>
      <c r="M128"/>
      <c r="N128"/>
    </row>
    <row r="129" spans="1:14" s="27" customFormat="1">
      <c r="A129"/>
      <c r="B129" s="33"/>
      <c r="C129" s="21"/>
      <c r="F129" s="93"/>
      <c r="G129" s="117"/>
      <c r="H129" s="117"/>
      <c r="J129"/>
      <c r="K129"/>
      <c r="L129"/>
      <c r="M129"/>
      <c r="N129"/>
    </row>
    <row r="130" spans="1:14" s="27" customFormat="1">
      <c r="A130"/>
      <c r="B130" s="33"/>
      <c r="C130" s="21"/>
      <c r="F130" s="93"/>
      <c r="G130" s="117"/>
      <c r="H130" s="117"/>
      <c r="J130"/>
      <c r="K130"/>
      <c r="L130"/>
      <c r="M130"/>
      <c r="N130"/>
    </row>
    <row r="131" spans="1:14" s="27" customFormat="1">
      <c r="A131"/>
      <c r="B131" s="33"/>
      <c r="C131" s="21"/>
      <c r="F131" s="93"/>
      <c r="G131" s="117"/>
      <c r="H131" s="117"/>
      <c r="J131"/>
      <c r="K131"/>
      <c r="L131"/>
      <c r="M131"/>
      <c r="N131"/>
    </row>
    <row r="132" spans="1:14" s="27" customFormat="1">
      <c r="A132"/>
      <c r="B132" s="33"/>
      <c r="C132" s="21"/>
      <c r="F132" s="93"/>
      <c r="G132" s="117"/>
      <c r="H132" s="117"/>
      <c r="J132"/>
      <c r="K132"/>
      <c r="L132"/>
      <c r="M132"/>
      <c r="N132"/>
    </row>
    <row r="133" spans="1:14" s="27" customFormat="1">
      <c r="A133"/>
      <c r="B133" s="33"/>
      <c r="C133" s="21"/>
      <c r="F133" s="93"/>
      <c r="G133" s="117"/>
      <c r="H133" s="117"/>
      <c r="J133"/>
      <c r="K133"/>
      <c r="L133"/>
      <c r="M133"/>
      <c r="N133"/>
    </row>
    <row r="134" spans="1:14" s="27" customFormat="1">
      <c r="A134"/>
      <c r="B134" s="33"/>
      <c r="C134" s="21"/>
      <c r="F134" s="93"/>
      <c r="G134" s="117"/>
      <c r="H134" s="117"/>
      <c r="J134"/>
      <c r="K134"/>
      <c r="L134"/>
      <c r="M134"/>
      <c r="N134"/>
    </row>
    <row r="135" spans="1:14" s="27" customFormat="1">
      <c r="A135"/>
      <c r="B135" s="33"/>
      <c r="C135" s="21"/>
      <c r="F135" s="93"/>
      <c r="G135" s="117"/>
      <c r="H135" s="117"/>
      <c r="J135"/>
      <c r="K135"/>
      <c r="L135"/>
      <c r="M135"/>
      <c r="N135"/>
    </row>
    <row r="136" spans="1:14" s="27" customFormat="1">
      <c r="A136"/>
      <c r="B136" s="33"/>
      <c r="C136" s="21"/>
      <c r="F136" s="93"/>
      <c r="G136" s="117"/>
      <c r="H136" s="117"/>
      <c r="J136"/>
      <c r="K136"/>
      <c r="L136"/>
      <c r="M136"/>
      <c r="N136"/>
    </row>
    <row r="137" spans="1:14" s="27" customFormat="1">
      <c r="A137"/>
      <c r="B137" s="33"/>
      <c r="C137" s="21"/>
      <c r="F137" s="93"/>
      <c r="G137" s="117"/>
      <c r="H137" s="117"/>
      <c r="J137"/>
      <c r="K137"/>
      <c r="L137"/>
      <c r="M137"/>
      <c r="N137"/>
    </row>
    <row r="138" spans="1:14" s="27" customFormat="1">
      <c r="A138"/>
      <c r="B138" s="33"/>
      <c r="C138" s="21"/>
      <c r="F138" s="93"/>
      <c r="G138" s="117"/>
      <c r="H138" s="117"/>
      <c r="J138"/>
      <c r="K138"/>
      <c r="L138"/>
      <c r="M138"/>
      <c r="N138"/>
    </row>
    <row r="139" spans="1:14" s="27" customFormat="1">
      <c r="A139"/>
      <c r="B139" s="33"/>
      <c r="C139" s="21"/>
      <c r="F139" s="93"/>
      <c r="G139" s="117"/>
      <c r="H139" s="117"/>
      <c r="J139"/>
      <c r="K139"/>
      <c r="L139"/>
      <c r="M139"/>
      <c r="N139"/>
    </row>
    <row r="140" spans="1:14" s="27" customFormat="1">
      <c r="A140"/>
      <c r="B140" s="33"/>
      <c r="C140" s="21"/>
      <c r="F140" s="93"/>
      <c r="G140" s="117"/>
      <c r="H140" s="117"/>
      <c r="J140"/>
      <c r="K140"/>
      <c r="L140"/>
      <c r="M140"/>
      <c r="N140"/>
    </row>
    <row r="141" spans="1:14" s="27" customFormat="1">
      <c r="A141"/>
      <c r="B141" s="33"/>
      <c r="C141" s="21"/>
      <c r="F141" s="93"/>
      <c r="G141" s="117"/>
      <c r="H141" s="117"/>
      <c r="J141"/>
      <c r="K141"/>
      <c r="L141"/>
      <c r="M141"/>
      <c r="N141"/>
    </row>
    <row r="142" spans="1:14" s="27" customFormat="1">
      <c r="A142"/>
      <c r="B142" s="33"/>
      <c r="C142" s="21"/>
      <c r="F142" s="93"/>
      <c r="G142" s="117"/>
      <c r="H142" s="117"/>
      <c r="J142"/>
      <c r="K142"/>
      <c r="L142"/>
      <c r="M142"/>
      <c r="N142"/>
    </row>
    <row r="143" spans="1:14" s="27" customFormat="1">
      <c r="A143"/>
      <c r="B143" s="33"/>
      <c r="C143" s="21"/>
      <c r="F143" s="93"/>
      <c r="G143" s="117"/>
      <c r="H143" s="117"/>
      <c r="J143"/>
      <c r="K143"/>
      <c r="L143"/>
      <c r="M143"/>
      <c r="N143"/>
    </row>
    <row r="144" spans="1:14" s="27" customFormat="1">
      <c r="A144"/>
      <c r="B144" s="33"/>
      <c r="C144" s="21"/>
      <c r="F144" s="93"/>
      <c r="G144" s="117"/>
      <c r="H144" s="117"/>
      <c r="J144"/>
      <c r="K144"/>
      <c r="L144"/>
      <c r="M144"/>
      <c r="N144"/>
    </row>
    <row r="145" spans="1:14" s="27" customFormat="1">
      <c r="A145"/>
      <c r="B145" s="33"/>
      <c r="C145" s="21"/>
      <c r="F145" s="93"/>
      <c r="G145" s="117"/>
      <c r="H145" s="117"/>
      <c r="J145"/>
      <c r="K145"/>
      <c r="L145"/>
      <c r="M145"/>
      <c r="N145"/>
    </row>
    <row r="146" spans="1:14" s="27" customFormat="1">
      <c r="A146"/>
      <c r="B146" s="33"/>
      <c r="C146" s="21"/>
      <c r="F146" s="93"/>
      <c r="G146" s="117"/>
      <c r="H146" s="117"/>
      <c r="J146"/>
      <c r="K146"/>
      <c r="L146"/>
      <c r="M146"/>
      <c r="N146"/>
    </row>
    <row r="147" spans="1:14" s="27" customFormat="1">
      <c r="A147"/>
      <c r="B147" s="33"/>
      <c r="C147" s="21"/>
      <c r="F147" s="93"/>
      <c r="G147" s="117"/>
      <c r="H147" s="117"/>
      <c r="J147"/>
      <c r="K147"/>
      <c r="L147"/>
      <c r="M147"/>
      <c r="N147"/>
    </row>
    <row r="148" spans="1:14" s="27" customFormat="1">
      <c r="A148"/>
      <c r="B148" s="33"/>
      <c r="C148" s="21"/>
      <c r="F148" s="93"/>
      <c r="G148" s="117"/>
      <c r="H148" s="117"/>
      <c r="J148"/>
      <c r="K148"/>
      <c r="L148"/>
      <c r="M148"/>
      <c r="N148"/>
    </row>
    <row r="149" spans="1:14" s="27" customFormat="1">
      <c r="A149"/>
      <c r="B149" s="33"/>
      <c r="C149" s="21"/>
      <c r="F149" s="93"/>
      <c r="G149" s="117"/>
      <c r="H149" s="117"/>
      <c r="J149"/>
      <c r="K149"/>
      <c r="L149"/>
      <c r="M149"/>
      <c r="N149"/>
    </row>
    <row r="150" spans="1:14" s="27" customFormat="1">
      <c r="A150"/>
      <c r="B150" s="33"/>
      <c r="C150" s="21"/>
      <c r="F150" s="93"/>
      <c r="G150" s="117"/>
      <c r="H150" s="117"/>
      <c r="J150"/>
      <c r="K150"/>
      <c r="L150"/>
      <c r="M150"/>
      <c r="N150"/>
    </row>
    <row r="151" spans="1:14" s="27" customFormat="1">
      <c r="A151"/>
      <c r="B151" s="33"/>
      <c r="C151" s="21"/>
      <c r="F151" s="93"/>
      <c r="G151" s="117"/>
      <c r="H151" s="117"/>
      <c r="J151"/>
      <c r="K151"/>
      <c r="L151"/>
      <c r="M151"/>
      <c r="N151"/>
    </row>
    <row r="152" spans="1:14" s="27" customFormat="1">
      <c r="A152"/>
      <c r="B152" s="33"/>
      <c r="C152" s="21"/>
      <c r="F152" s="93"/>
      <c r="G152" s="117"/>
      <c r="H152" s="117"/>
      <c r="J152"/>
      <c r="K152"/>
      <c r="L152"/>
      <c r="M152"/>
      <c r="N152"/>
    </row>
    <row r="153" spans="1:14" s="27" customFormat="1">
      <c r="A153"/>
      <c r="B153" s="33"/>
      <c r="C153" s="21"/>
      <c r="F153" s="93"/>
      <c r="G153" s="117"/>
      <c r="H153" s="117"/>
      <c r="J153"/>
      <c r="K153"/>
      <c r="L153"/>
      <c r="M153"/>
      <c r="N153"/>
    </row>
    <row r="154" spans="1:14" s="27" customFormat="1">
      <c r="A154"/>
      <c r="B154" s="33"/>
      <c r="C154" s="21"/>
      <c r="F154" s="93"/>
      <c r="G154" s="117"/>
      <c r="H154" s="117"/>
      <c r="J154"/>
      <c r="K154"/>
      <c r="L154"/>
      <c r="M154"/>
      <c r="N154"/>
    </row>
    <row r="155" spans="1:14" s="27" customFormat="1">
      <c r="A155"/>
      <c r="B155" s="33"/>
      <c r="C155" s="21"/>
      <c r="F155" s="93"/>
      <c r="G155" s="117"/>
      <c r="H155" s="117"/>
      <c r="J155"/>
      <c r="K155"/>
      <c r="L155"/>
      <c r="M155"/>
      <c r="N155"/>
    </row>
    <row r="156" spans="1:14" s="27" customFormat="1">
      <c r="A156"/>
      <c r="B156" s="33"/>
      <c r="C156" s="21"/>
      <c r="F156" s="93"/>
      <c r="G156" s="117"/>
      <c r="H156" s="117"/>
      <c r="J156"/>
      <c r="K156"/>
      <c r="L156"/>
      <c r="M156"/>
      <c r="N156"/>
    </row>
    <row r="157" spans="1:14" s="27" customFormat="1">
      <c r="A157"/>
      <c r="B157" s="33"/>
      <c r="C157" s="21"/>
      <c r="F157" s="93"/>
      <c r="G157" s="117"/>
      <c r="H157" s="117"/>
      <c r="J157"/>
      <c r="K157"/>
      <c r="L157"/>
      <c r="M157"/>
      <c r="N157"/>
    </row>
    <row r="158" spans="1:14" s="27" customFormat="1">
      <c r="A158"/>
      <c r="B158" s="33"/>
      <c r="C158" s="21"/>
      <c r="F158" s="93"/>
      <c r="G158" s="117"/>
      <c r="H158" s="117"/>
      <c r="J158"/>
      <c r="K158"/>
      <c r="L158"/>
      <c r="M158"/>
      <c r="N158"/>
    </row>
    <row r="159" spans="1:14" s="27" customFormat="1">
      <c r="A159"/>
      <c r="B159" s="33"/>
      <c r="C159" s="21"/>
      <c r="F159" s="93"/>
      <c r="G159" s="117"/>
      <c r="H159" s="117"/>
      <c r="J159"/>
      <c r="K159"/>
      <c r="L159"/>
      <c r="M159"/>
      <c r="N159"/>
    </row>
    <row r="160" spans="1:14" s="27" customFormat="1">
      <c r="A160"/>
      <c r="B160" s="33"/>
      <c r="C160" s="21"/>
      <c r="F160" s="93"/>
      <c r="G160" s="117"/>
      <c r="H160" s="117"/>
      <c r="J160"/>
      <c r="K160"/>
      <c r="L160"/>
      <c r="M160"/>
      <c r="N160"/>
    </row>
    <row r="161" spans="1:14" s="27" customFormat="1">
      <c r="A161"/>
      <c r="B161" s="33"/>
      <c r="C161" s="21"/>
      <c r="F161" s="93"/>
      <c r="G161" s="117"/>
      <c r="H161" s="117"/>
      <c r="J161"/>
      <c r="K161"/>
      <c r="L161"/>
      <c r="M161"/>
      <c r="N161"/>
    </row>
    <row r="162" spans="1:14" s="27" customFormat="1">
      <c r="A162"/>
      <c r="B162" s="33"/>
      <c r="C162" s="21"/>
      <c r="F162" s="93"/>
      <c r="G162" s="117"/>
      <c r="H162" s="117"/>
      <c r="J162"/>
      <c r="K162"/>
      <c r="L162"/>
      <c r="M162"/>
      <c r="N162"/>
    </row>
    <row r="163" spans="1:14" s="27" customFormat="1">
      <c r="A163"/>
      <c r="B163" s="33"/>
      <c r="C163" s="21"/>
      <c r="F163" s="93"/>
      <c r="G163" s="117"/>
      <c r="H163" s="117"/>
      <c r="J163"/>
      <c r="K163"/>
      <c r="L163"/>
      <c r="M163"/>
      <c r="N163"/>
    </row>
    <row r="164" spans="1:14" s="27" customFormat="1">
      <c r="A164"/>
      <c r="B164" s="33"/>
      <c r="C164" s="21"/>
      <c r="F164" s="93"/>
      <c r="G164" s="117"/>
      <c r="H164" s="117"/>
      <c r="J164"/>
      <c r="K164"/>
      <c r="L164"/>
      <c r="M164"/>
      <c r="N164"/>
    </row>
    <row r="165" spans="1:14" s="27" customFormat="1">
      <c r="A165"/>
      <c r="B165" s="33"/>
      <c r="C165" s="21"/>
      <c r="F165" s="93"/>
      <c r="G165" s="117"/>
      <c r="H165" s="117"/>
      <c r="J165"/>
      <c r="K165"/>
      <c r="L165"/>
      <c r="M165"/>
      <c r="N165"/>
    </row>
    <row r="166" spans="1:14" s="27" customFormat="1">
      <c r="A166"/>
      <c r="B166" s="33"/>
      <c r="C166" s="21"/>
      <c r="F166" s="93"/>
      <c r="G166" s="117"/>
      <c r="H166" s="117"/>
      <c r="J166"/>
      <c r="K166"/>
      <c r="L166"/>
      <c r="M166"/>
      <c r="N166"/>
    </row>
    <row r="167" spans="1:14" s="27" customFormat="1">
      <c r="A167"/>
      <c r="B167" s="33"/>
      <c r="C167" s="21"/>
      <c r="F167" s="93"/>
      <c r="G167" s="117"/>
      <c r="H167" s="117"/>
      <c r="J167"/>
      <c r="K167"/>
      <c r="L167"/>
      <c r="M167"/>
      <c r="N167"/>
    </row>
    <row r="168" spans="1:14" s="27" customFormat="1">
      <c r="A168"/>
      <c r="B168" s="33"/>
      <c r="C168" s="21"/>
      <c r="F168" s="93"/>
      <c r="G168" s="117"/>
      <c r="H168" s="117"/>
      <c r="J168"/>
      <c r="K168"/>
      <c r="L168"/>
      <c r="M168"/>
      <c r="N168"/>
    </row>
    <row r="169" spans="1:14" s="27" customFormat="1">
      <c r="A169"/>
      <c r="B169" s="33"/>
      <c r="C169" s="21"/>
      <c r="F169" s="93"/>
      <c r="G169" s="117"/>
      <c r="H169" s="117"/>
      <c r="J169"/>
      <c r="K169"/>
      <c r="L169"/>
      <c r="M169"/>
      <c r="N169"/>
    </row>
    <row r="170" spans="1:14" s="27" customFormat="1">
      <c r="A170"/>
      <c r="B170" s="33"/>
      <c r="C170" s="21"/>
      <c r="F170" s="93"/>
      <c r="G170" s="117"/>
      <c r="H170" s="117"/>
      <c r="J170"/>
      <c r="K170"/>
      <c r="L170"/>
      <c r="M170"/>
      <c r="N170"/>
    </row>
    <row r="171" spans="1:14" s="27" customFormat="1">
      <c r="A171"/>
      <c r="B171" s="33"/>
      <c r="C171" s="21"/>
      <c r="F171" s="93"/>
      <c r="G171" s="117"/>
      <c r="H171" s="117"/>
      <c r="J171"/>
      <c r="K171"/>
      <c r="L171"/>
      <c r="M171"/>
      <c r="N171"/>
    </row>
    <row r="172" spans="1:14" s="27" customFormat="1">
      <c r="A172"/>
      <c r="B172" s="33"/>
      <c r="C172" s="21"/>
      <c r="F172" s="93"/>
      <c r="G172" s="117"/>
      <c r="H172" s="117"/>
      <c r="J172"/>
      <c r="K172"/>
      <c r="L172"/>
      <c r="M172"/>
      <c r="N172"/>
    </row>
    <row r="173" spans="1:14" s="27" customFormat="1">
      <c r="A173"/>
      <c r="B173" s="33"/>
      <c r="C173" s="21"/>
      <c r="F173" s="93"/>
      <c r="G173" s="117"/>
      <c r="H173" s="117"/>
      <c r="J173"/>
      <c r="K173"/>
      <c r="L173"/>
      <c r="M173"/>
      <c r="N173"/>
    </row>
    <row r="174" spans="1:14" s="27" customFormat="1">
      <c r="A174"/>
      <c r="B174" s="33"/>
      <c r="C174" s="21"/>
      <c r="F174" s="93"/>
      <c r="G174" s="117"/>
      <c r="H174" s="117"/>
      <c r="J174"/>
      <c r="K174"/>
      <c r="L174"/>
      <c r="M174"/>
      <c r="N174"/>
    </row>
    <row r="175" spans="1:14" s="27" customFormat="1">
      <c r="A175"/>
      <c r="B175" s="33"/>
      <c r="C175" s="21"/>
      <c r="F175" s="93"/>
      <c r="G175" s="117"/>
      <c r="H175" s="117"/>
      <c r="J175"/>
      <c r="K175"/>
      <c r="L175"/>
      <c r="M175"/>
      <c r="N175"/>
    </row>
    <row r="176" spans="1:14" s="27" customFormat="1">
      <c r="A176"/>
      <c r="B176" s="33"/>
      <c r="C176" s="21"/>
      <c r="F176" s="93"/>
      <c r="G176" s="117"/>
      <c r="H176" s="117"/>
      <c r="J176"/>
      <c r="K176"/>
      <c r="L176"/>
      <c r="M176"/>
      <c r="N176"/>
    </row>
    <row r="177" spans="1:14" s="27" customFormat="1">
      <c r="A177"/>
      <c r="B177" s="33"/>
      <c r="C177" s="21"/>
      <c r="F177" s="93"/>
      <c r="G177" s="117"/>
      <c r="H177" s="117"/>
      <c r="J177"/>
      <c r="K177"/>
      <c r="L177"/>
      <c r="M177"/>
      <c r="N177"/>
    </row>
    <row r="178" spans="1:14" s="27" customFormat="1">
      <c r="A178"/>
      <c r="B178" s="33"/>
      <c r="C178" s="21"/>
      <c r="F178" s="93"/>
      <c r="G178" s="117"/>
      <c r="H178" s="117"/>
      <c r="J178"/>
      <c r="K178"/>
      <c r="L178"/>
      <c r="M178"/>
      <c r="N178"/>
    </row>
    <row r="179" spans="1:14" s="27" customFormat="1">
      <c r="A179"/>
      <c r="B179" s="33"/>
      <c r="C179" s="21"/>
      <c r="F179" s="93"/>
      <c r="G179" s="117"/>
      <c r="H179" s="117"/>
      <c r="J179"/>
      <c r="K179"/>
      <c r="L179"/>
      <c r="M179"/>
      <c r="N179"/>
    </row>
    <row r="180" spans="1:14" s="27" customFormat="1">
      <c r="A180"/>
      <c r="B180" s="33"/>
      <c r="C180" s="21"/>
      <c r="F180" s="93"/>
      <c r="G180" s="117"/>
      <c r="H180" s="117"/>
      <c r="J180"/>
      <c r="K180"/>
      <c r="L180"/>
      <c r="M180"/>
      <c r="N180"/>
    </row>
    <row r="181" spans="1:14" s="27" customFormat="1">
      <c r="A181"/>
      <c r="B181" s="33"/>
      <c r="C181" s="21"/>
      <c r="F181" s="93"/>
      <c r="G181" s="117"/>
      <c r="H181" s="117"/>
      <c r="J181"/>
      <c r="K181"/>
      <c r="L181"/>
      <c r="M181"/>
      <c r="N181"/>
    </row>
    <row r="182" spans="1:14" s="27" customFormat="1">
      <c r="A182"/>
      <c r="B182" s="33"/>
      <c r="C182" s="21"/>
      <c r="F182" s="93"/>
      <c r="G182" s="117"/>
      <c r="H182" s="117"/>
      <c r="J182"/>
      <c r="K182"/>
      <c r="L182"/>
      <c r="M182"/>
      <c r="N182"/>
    </row>
    <row r="183" spans="1:14" s="27" customFormat="1">
      <c r="A183"/>
      <c r="B183" s="33"/>
      <c r="C183" s="21"/>
      <c r="F183" s="93"/>
      <c r="G183" s="117"/>
      <c r="H183" s="117"/>
      <c r="J183"/>
      <c r="K183"/>
      <c r="L183"/>
      <c r="M183"/>
      <c r="N183"/>
    </row>
    <row r="184" spans="1:14" s="27" customFormat="1">
      <c r="A184"/>
      <c r="B184" s="33"/>
      <c r="C184" s="21"/>
      <c r="F184" s="93"/>
      <c r="G184" s="117"/>
      <c r="H184" s="117"/>
      <c r="J184"/>
      <c r="K184"/>
      <c r="L184"/>
      <c r="M184"/>
      <c r="N184"/>
    </row>
    <row r="185" spans="1:14" s="27" customFormat="1">
      <c r="A185"/>
      <c r="B185" s="33"/>
      <c r="C185" s="21"/>
      <c r="F185" s="93"/>
      <c r="G185" s="117"/>
      <c r="H185" s="117"/>
      <c r="J185"/>
      <c r="K185"/>
      <c r="L185"/>
      <c r="M185"/>
      <c r="N185"/>
    </row>
    <row r="186" spans="1:14" s="27" customFormat="1">
      <c r="A186"/>
      <c r="B186" s="33"/>
      <c r="C186" s="21"/>
      <c r="F186" s="93"/>
      <c r="G186" s="117"/>
      <c r="H186" s="117"/>
      <c r="J186"/>
      <c r="K186"/>
      <c r="L186"/>
      <c r="M186"/>
      <c r="N186"/>
    </row>
    <row r="187" spans="1:14" s="27" customFormat="1">
      <c r="A187"/>
      <c r="B187" s="33"/>
      <c r="C187" s="21"/>
      <c r="F187" s="93"/>
      <c r="G187" s="117"/>
      <c r="H187" s="117"/>
      <c r="J187"/>
      <c r="K187"/>
      <c r="L187"/>
      <c r="M187"/>
      <c r="N187"/>
    </row>
    <row r="188" spans="1:14" s="27" customFormat="1">
      <c r="A188"/>
      <c r="B188" s="33"/>
      <c r="C188" s="21"/>
      <c r="F188" s="93"/>
      <c r="G188" s="117"/>
      <c r="H188" s="117"/>
      <c r="J188"/>
      <c r="K188"/>
      <c r="L188"/>
      <c r="M188"/>
      <c r="N188"/>
    </row>
    <row r="189" spans="1:14" s="27" customFormat="1">
      <c r="A189"/>
      <c r="B189" s="33"/>
      <c r="C189" s="21"/>
      <c r="F189" s="93"/>
      <c r="G189" s="117"/>
      <c r="H189" s="117"/>
      <c r="J189"/>
      <c r="K189"/>
      <c r="L189"/>
      <c r="M189"/>
      <c r="N189"/>
    </row>
    <row r="190" spans="1:14" s="27" customFormat="1">
      <c r="A190"/>
      <c r="B190" s="33"/>
      <c r="C190" s="21"/>
      <c r="F190" s="93"/>
      <c r="G190" s="117"/>
      <c r="H190" s="117"/>
      <c r="J190"/>
      <c r="K190"/>
      <c r="L190"/>
      <c r="M190"/>
      <c r="N190"/>
    </row>
    <row r="191" spans="1:14" s="27" customFormat="1">
      <c r="A191"/>
      <c r="B191" s="33"/>
      <c r="C191" s="21"/>
      <c r="F191" s="93"/>
      <c r="G191" s="117"/>
      <c r="H191" s="117"/>
      <c r="J191"/>
      <c r="K191"/>
      <c r="L191"/>
      <c r="M191"/>
      <c r="N191"/>
    </row>
    <row r="192" spans="1:14" s="27" customFormat="1">
      <c r="A192"/>
      <c r="B192" s="33"/>
      <c r="C192" s="21"/>
      <c r="F192" s="93"/>
      <c r="G192" s="117"/>
      <c r="H192" s="117"/>
      <c r="J192"/>
      <c r="K192"/>
      <c r="L192"/>
      <c r="M192"/>
      <c r="N192"/>
    </row>
    <row r="193" spans="1:14" s="27" customFormat="1">
      <c r="A193"/>
      <c r="B193" s="33"/>
      <c r="C193" s="21"/>
      <c r="F193" s="93"/>
      <c r="G193" s="117"/>
      <c r="H193" s="117"/>
      <c r="J193"/>
      <c r="K193"/>
      <c r="L193"/>
      <c r="M193"/>
      <c r="N193"/>
    </row>
    <row r="194" spans="1:14" s="27" customFormat="1">
      <c r="A194"/>
      <c r="B194" s="33"/>
      <c r="C194" s="21"/>
      <c r="F194" s="93"/>
      <c r="G194" s="117"/>
      <c r="H194" s="117"/>
      <c r="J194"/>
      <c r="K194"/>
      <c r="L194"/>
      <c r="M194"/>
      <c r="N194"/>
    </row>
    <row r="195" spans="1:14" s="27" customFormat="1">
      <c r="A195"/>
      <c r="B195" s="33"/>
      <c r="C195" s="21"/>
      <c r="F195" s="93"/>
      <c r="G195" s="117"/>
      <c r="H195" s="117"/>
      <c r="J195"/>
      <c r="K195"/>
      <c r="L195"/>
      <c r="M195"/>
      <c r="N195"/>
    </row>
    <row r="196" spans="1:14" s="27" customFormat="1">
      <c r="A196"/>
      <c r="B196" s="33"/>
      <c r="C196" s="21"/>
      <c r="F196" s="93"/>
      <c r="G196" s="117"/>
      <c r="H196" s="117"/>
      <c r="J196"/>
      <c r="K196"/>
      <c r="L196"/>
      <c r="M196"/>
      <c r="N196"/>
    </row>
    <row r="197" spans="1:14" s="27" customFormat="1">
      <c r="A197"/>
      <c r="B197" s="33"/>
      <c r="C197" s="21"/>
      <c r="F197" s="93"/>
      <c r="G197" s="117"/>
      <c r="H197" s="117"/>
      <c r="J197"/>
      <c r="K197"/>
      <c r="L197"/>
      <c r="M197"/>
      <c r="N197"/>
    </row>
    <row r="198" spans="1:14" s="27" customFormat="1">
      <c r="A198"/>
      <c r="B198" s="33"/>
      <c r="C198" s="21"/>
      <c r="F198" s="93"/>
      <c r="G198" s="117"/>
      <c r="H198" s="117"/>
      <c r="J198"/>
      <c r="K198"/>
      <c r="L198"/>
      <c r="M198"/>
      <c r="N198"/>
    </row>
    <row r="199" spans="1:14" s="27" customFormat="1">
      <c r="A199"/>
      <c r="B199" s="33"/>
      <c r="C199" s="21"/>
      <c r="F199" s="93"/>
      <c r="G199" s="117"/>
      <c r="H199" s="117"/>
      <c r="J199"/>
      <c r="K199"/>
      <c r="L199"/>
      <c r="M199"/>
      <c r="N199"/>
    </row>
    <row r="200" spans="1:14" s="27" customFormat="1">
      <c r="A200"/>
      <c r="B200" s="33"/>
      <c r="C200" s="21"/>
      <c r="F200" s="93"/>
      <c r="G200" s="117"/>
      <c r="H200" s="117"/>
      <c r="J200"/>
      <c r="K200"/>
      <c r="L200"/>
      <c r="M200"/>
      <c r="N200"/>
    </row>
    <row r="201" spans="1:14" s="27" customFormat="1">
      <c r="A201"/>
      <c r="B201" s="33"/>
      <c r="C201" s="21"/>
      <c r="F201" s="93"/>
      <c r="G201" s="117"/>
      <c r="H201" s="117"/>
      <c r="J201"/>
      <c r="K201"/>
      <c r="L201"/>
      <c r="M201"/>
      <c r="N201"/>
    </row>
    <row r="202" spans="1:14" s="27" customFormat="1">
      <c r="A202"/>
      <c r="B202" s="33"/>
      <c r="C202" s="21"/>
      <c r="F202" s="93"/>
      <c r="G202" s="117"/>
      <c r="H202" s="117"/>
      <c r="J202"/>
      <c r="K202"/>
      <c r="L202"/>
      <c r="M202"/>
      <c r="N202"/>
    </row>
    <row r="203" spans="1:14" s="27" customFormat="1">
      <c r="A203"/>
      <c r="B203" s="33"/>
      <c r="C203" s="21"/>
      <c r="F203" s="93"/>
      <c r="G203" s="117"/>
      <c r="H203" s="117"/>
      <c r="J203"/>
      <c r="K203"/>
      <c r="L203"/>
      <c r="M203"/>
      <c r="N203"/>
    </row>
    <row r="204" spans="1:14" s="27" customFormat="1">
      <c r="A204"/>
      <c r="B204" s="33"/>
      <c r="C204" s="21"/>
      <c r="F204" s="93"/>
      <c r="G204" s="117"/>
      <c r="H204" s="117"/>
      <c r="J204"/>
      <c r="K204"/>
      <c r="L204"/>
      <c r="M204"/>
      <c r="N204"/>
    </row>
    <row r="205" spans="1:14" s="27" customFormat="1">
      <c r="A205"/>
      <c r="B205" s="33"/>
      <c r="C205" s="21"/>
      <c r="F205" s="93"/>
      <c r="G205" s="117"/>
      <c r="H205" s="117"/>
      <c r="J205"/>
      <c r="K205"/>
      <c r="L205"/>
      <c r="M205"/>
      <c r="N205"/>
    </row>
    <row r="206" spans="1:14" s="27" customFormat="1">
      <c r="A206"/>
      <c r="B206" s="33"/>
      <c r="C206" s="21"/>
      <c r="F206" s="93"/>
      <c r="G206" s="117"/>
      <c r="H206" s="117"/>
      <c r="J206"/>
      <c r="K206"/>
      <c r="L206"/>
      <c r="M206"/>
      <c r="N206"/>
    </row>
    <row r="207" spans="1:14" s="27" customFormat="1">
      <c r="A207"/>
      <c r="B207" s="33"/>
      <c r="C207" s="21"/>
      <c r="F207" s="93"/>
      <c r="G207" s="117"/>
      <c r="H207" s="117"/>
      <c r="J207"/>
      <c r="K207"/>
      <c r="L207"/>
      <c r="M207"/>
      <c r="N207"/>
    </row>
    <row r="208" spans="1:14" s="27" customFormat="1">
      <c r="A208"/>
      <c r="B208" s="33"/>
      <c r="C208" s="21"/>
      <c r="F208" s="93"/>
      <c r="G208" s="117"/>
      <c r="H208" s="117"/>
      <c r="J208"/>
      <c r="K208"/>
      <c r="L208"/>
      <c r="M208"/>
      <c r="N208"/>
    </row>
    <row r="209" spans="1:14" s="27" customFormat="1">
      <c r="A209"/>
      <c r="B209" s="33"/>
      <c r="C209" s="21"/>
      <c r="F209" s="93"/>
      <c r="G209" s="117"/>
      <c r="H209" s="117"/>
      <c r="J209"/>
      <c r="K209"/>
      <c r="L209"/>
      <c r="M209"/>
      <c r="N209"/>
    </row>
    <row r="210" spans="1:14" s="27" customFormat="1">
      <c r="A210"/>
      <c r="B210" s="33"/>
      <c r="C210" s="21"/>
      <c r="F210" s="93"/>
      <c r="G210" s="117"/>
      <c r="H210" s="117"/>
      <c r="J210"/>
      <c r="K210"/>
      <c r="L210"/>
      <c r="M210"/>
      <c r="N210"/>
    </row>
    <row r="211" spans="1:14" s="27" customFormat="1">
      <c r="A211"/>
      <c r="B211" s="33"/>
      <c r="C211" s="21"/>
      <c r="F211" s="93"/>
      <c r="G211" s="117"/>
      <c r="H211" s="117"/>
      <c r="J211"/>
      <c r="K211"/>
      <c r="L211"/>
      <c r="M211"/>
      <c r="N211"/>
    </row>
    <row r="212" spans="1:14" s="27" customFormat="1">
      <c r="A212"/>
      <c r="B212" s="33"/>
      <c r="C212" s="21"/>
      <c r="F212" s="93"/>
      <c r="G212" s="117"/>
      <c r="H212" s="117"/>
      <c r="J212"/>
      <c r="K212"/>
      <c r="L212"/>
      <c r="M212"/>
      <c r="N212"/>
    </row>
    <row r="213" spans="1:14" s="27" customFormat="1">
      <c r="A213"/>
      <c r="B213" s="33"/>
      <c r="C213" s="21"/>
      <c r="F213" s="93"/>
      <c r="G213" s="117"/>
      <c r="H213" s="117"/>
      <c r="J213"/>
      <c r="K213"/>
      <c r="L213"/>
      <c r="M213"/>
      <c r="N213"/>
    </row>
    <row r="214" spans="1:14" s="27" customFormat="1">
      <c r="A214"/>
      <c r="B214" s="33"/>
      <c r="C214" s="21"/>
      <c r="F214" s="93"/>
      <c r="G214" s="117"/>
      <c r="H214" s="117"/>
      <c r="J214"/>
      <c r="K214"/>
      <c r="L214"/>
      <c r="M214"/>
      <c r="N214"/>
    </row>
    <row r="215" spans="1:14" s="27" customFormat="1">
      <c r="A215"/>
      <c r="B215" s="33"/>
      <c r="C215" s="21"/>
      <c r="F215" s="93"/>
      <c r="G215" s="117"/>
      <c r="H215" s="117"/>
      <c r="J215"/>
      <c r="K215"/>
      <c r="L215"/>
      <c r="M215"/>
      <c r="N215"/>
    </row>
    <row r="216" spans="1:14" s="27" customFormat="1">
      <c r="A216"/>
      <c r="B216" s="33"/>
      <c r="C216" s="21"/>
      <c r="F216" s="93"/>
      <c r="G216" s="117"/>
      <c r="H216" s="117"/>
      <c r="J216"/>
      <c r="K216"/>
      <c r="L216"/>
      <c r="M216"/>
      <c r="N216"/>
    </row>
    <row r="217" spans="1:14" s="27" customFormat="1">
      <c r="A217"/>
      <c r="B217" s="33"/>
      <c r="C217" s="21"/>
      <c r="F217" s="93"/>
      <c r="G217" s="117"/>
      <c r="H217" s="117"/>
      <c r="J217"/>
      <c r="K217"/>
      <c r="L217"/>
      <c r="M217"/>
      <c r="N217"/>
    </row>
    <row r="218" spans="1:14" s="27" customFormat="1">
      <c r="A218"/>
      <c r="B218" s="33"/>
      <c r="C218" s="21"/>
      <c r="F218" s="93"/>
      <c r="G218" s="117"/>
      <c r="H218" s="117"/>
      <c r="J218"/>
      <c r="K218"/>
      <c r="L218"/>
      <c r="M218"/>
      <c r="N218"/>
    </row>
    <row r="219" spans="1:14" s="27" customFormat="1">
      <c r="A219"/>
      <c r="B219" s="33"/>
      <c r="C219" s="21"/>
      <c r="F219" s="93"/>
      <c r="G219" s="117"/>
      <c r="H219" s="117"/>
      <c r="J219"/>
      <c r="K219"/>
      <c r="L219"/>
      <c r="M219"/>
      <c r="N219"/>
    </row>
    <row r="220" spans="1:14" s="27" customFormat="1">
      <c r="A220"/>
      <c r="B220" s="33"/>
      <c r="C220" s="21"/>
      <c r="F220" s="93"/>
      <c r="G220" s="117"/>
      <c r="H220" s="117"/>
      <c r="J220"/>
      <c r="K220"/>
      <c r="L220"/>
      <c r="M220"/>
      <c r="N220"/>
    </row>
    <row r="221" spans="1:14" s="27" customFormat="1">
      <c r="A221"/>
      <c r="B221" s="33"/>
      <c r="C221" s="21"/>
      <c r="F221" s="93"/>
      <c r="G221" s="117"/>
      <c r="H221" s="117"/>
      <c r="J221"/>
      <c r="K221"/>
      <c r="L221"/>
      <c r="M221"/>
      <c r="N221"/>
    </row>
    <row r="222" spans="1:14" s="27" customFormat="1">
      <c r="A222"/>
      <c r="B222" s="33"/>
      <c r="C222" s="21"/>
      <c r="F222" s="93"/>
      <c r="G222" s="117"/>
      <c r="H222" s="117"/>
      <c r="J222"/>
      <c r="K222"/>
      <c r="L222"/>
      <c r="M222"/>
      <c r="N222"/>
    </row>
    <row r="223" spans="1:14" s="27" customFormat="1">
      <c r="A223"/>
      <c r="B223" s="33"/>
      <c r="C223" s="21"/>
      <c r="F223" s="93"/>
      <c r="G223" s="117"/>
      <c r="H223" s="117"/>
      <c r="J223"/>
      <c r="K223"/>
      <c r="L223"/>
      <c r="M223"/>
      <c r="N223"/>
    </row>
    <row r="224" spans="1:14" s="27" customFormat="1">
      <c r="A224"/>
      <c r="B224" s="33"/>
      <c r="C224" s="21"/>
      <c r="F224" s="93"/>
      <c r="G224" s="117"/>
      <c r="H224" s="117"/>
      <c r="J224"/>
      <c r="K224"/>
      <c r="L224"/>
      <c r="M224"/>
      <c r="N224"/>
    </row>
    <row r="225" spans="1:14" s="27" customFormat="1">
      <c r="A225"/>
      <c r="B225" s="33"/>
      <c r="C225" s="21"/>
      <c r="F225" s="93"/>
      <c r="G225" s="117"/>
      <c r="H225" s="117"/>
      <c r="J225"/>
      <c r="K225"/>
      <c r="L225"/>
      <c r="M225"/>
      <c r="N225"/>
    </row>
    <row r="226" spans="1:14" s="27" customFormat="1">
      <c r="A226"/>
      <c r="B226" s="33"/>
      <c r="C226" s="21"/>
      <c r="F226" s="93"/>
      <c r="G226" s="117"/>
      <c r="H226" s="117"/>
      <c r="J226"/>
      <c r="K226"/>
      <c r="L226"/>
      <c r="M226"/>
      <c r="N226"/>
    </row>
    <row r="227" spans="1:14" s="27" customFormat="1">
      <c r="A227"/>
      <c r="B227" s="33"/>
      <c r="C227" s="21"/>
      <c r="F227" s="93"/>
      <c r="G227" s="117"/>
      <c r="H227" s="117"/>
      <c r="J227"/>
      <c r="K227"/>
      <c r="L227"/>
      <c r="M227"/>
      <c r="N227"/>
    </row>
    <row r="228" spans="1:14" s="27" customFormat="1">
      <c r="A228"/>
      <c r="B228" s="33"/>
      <c r="C228" s="21"/>
      <c r="F228" s="93"/>
      <c r="G228" s="117"/>
      <c r="H228" s="117"/>
      <c r="J228"/>
      <c r="K228"/>
      <c r="L228"/>
      <c r="M228"/>
      <c r="N228"/>
    </row>
    <row r="229" spans="1:14" s="27" customFormat="1">
      <c r="A229"/>
      <c r="B229" s="33"/>
      <c r="C229" s="21"/>
      <c r="F229" s="93"/>
      <c r="G229" s="117"/>
      <c r="H229" s="117"/>
      <c r="J229"/>
      <c r="K229"/>
      <c r="L229"/>
      <c r="M229"/>
      <c r="N229"/>
    </row>
  </sheetData>
  <mergeCells count="13">
    <mergeCell ref="D8:E8"/>
    <mergeCell ref="F8:H8"/>
    <mergeCell ref="A12:B12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300" r:id="rId1"/>
  <rowBreaks count="1" manualBreakCount="1">
    <brk id="39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5"/>
  <sheetViews>
    <sheetView view="pageBreakPreview" zoomScale="80" zoomScaleSheetLayoutView="80" workbookViewId="0">
      <selection activeCell="F31" sqref="F31"/>
    </sheetView>
  </sheetViews>
  <sheetFormatPr defaultRowHeight="15"/>
  <cols>
    <col min="1" max="1" width="7.28515625" customWidth="1"/>
    <col min="2" max="2" width="68.7109375" style="33" customWidth="1"/>
    <col min="3" max="3" width="17.28515625" style="21" customWidth="1"/>
    <col min="4" max="4" width="12.85546875" style="27" customWidth="1"/>
    <col min="5" max="5" width="13.28515625" style="27" customWidth="1"/>
    <col min="6" max="6" width="18.5703125" style="93" customWidth="1"/>
    <col min="7" max="7" width="10.28515625" style="93" customWidth="1"/>
    <col min="8" max="8" width="13.42578125" style="93" customWidth="1"/>
    <col min="9" max="9" width="17.28515625" style="27" customWidth="1"/>
    <col min="10" max="10" width="20" customWidth="1"/>
    <col min="11" max="11" width="10.5703125" bestFit="1" customWidth="1"/>
    <col min="14" max="14" width="15.140625" bestFit="1" customWidth="1"/>
    <col min="15" max="15" width="10" bestFit="1" customWidth="1"/>
  </cols>
  <sheetData>
    <row r="1" spans="1:14" ht="22.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4" ht="22.5" customHeight="1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5" spans="1:14">
      <c r="A5" s="2" t="s">
        <v>1</v>
      </c>
      <c r="B5" s="32" t="s">
        <v>64</v>
      </c>
      <c r="J5" s="3" t="s">
        <v>2</v>
      </c>
      <c r="K5" s="3" t="s">
        <v>134</v>
      </c>
      <c r="N5" s="44"/>
    </row>
    <row r="6" spans="1:14">
      <c r="A6" s="4"/>
      <c r="C6" s="22"/>
      <c r="J6" s="3" t="s">
        <v>3</v>
      </c>
      <c r="K6" s="3" t="s">
        <v>133</v>
      </c>
      <c r="L6" s="4"/>
      <c r="N6" s="44"/>
    </row>
    <row r="7" spans="1:14">
      <c r="A7" s="225" t="s">
        <v>4</v>
      </c>
      <c r="B7" s="226" t="s">
        <v>5</v>
      </c>
      <c r="C7" s="225" t="s">
        <v>63</v>
      </c>
      <c r="D7" s="227" t="s">
        <v>62</v>
      </c>
      <c r="E7" s="228"/>
      <c r="F7" s="228"/>
      <c r="G7" s="228"/>
      <c r="H7" s="229"/>
      <c r="I7" s="225" t="s">
        <v>59</v>
      </c>
      <c r="J7" s="225" t="s">
        <v>60</v>
      </c>
      <c r="K7" s="225" t="s">
        <v>6</v>
      </c>
      <c r="L7" s="230" t="s">
        <v>7</v>
      </c>
    </row>
    <row r="8" spans="1:14">
      <c r="A8" s="225"/>
      <c r="B8" s="226"/>
      <c r="C8" s="225"/>
      <c r="D8" s="225" t="s">
        <v>55</v>
      </c>
      <c r="E8" s="225"/>
      <c r="F8" s="233" t="s">
        <v>61</v>
      </c>
      <c r="G8" s="234"/>
      <c r="H8" s="235"/>
      <c r="I8" s="225"/>
      <c r="J8" s="225"/>
      <c r="K8" s="225"/>
      <c r="L8" s="230"/>
    </row>
    <row r="9" spans="1:14" ht="28.9" customHeight="1">
      <c r="A9" s="225"/>
      <c r="B9" s="226"/>
      <c r="C9" s="225"/>
      <c r="D9" s="88" t="s">
        <v>57</v>
      </c>
      <c r="E9" s="88" t="s">
        <v>58</v>
      </c>
      <c r="F9" s="86" t="s">
        <v>56</v>
      </c>
      <c r="G9" s="88" t="s">
        <v>57</v>
      </c>
      <c r="H9" s="88" t="s">
        <v>58</v>
      </c>
      <c r="I9" s="225"/>
      <c r="J9" s="225"/>
      <c r="K9" s="225"/>
      <c r="L9" s="230"/>
    </row>
    <row r="10" spans="1:14" ht="19.149999999999999" customHeight="1">
      <c r="A10" s="5"/>
      <c r="B10" s="186" t="s">
        <v>8</v>
      </c>
      <c r="C10" s="129">
        <f>C11</f>
        <v>20189005295</v>
      </c>
      <c r="D10" s="94"/>
      <c r="E10" s="95"/>
      <c r="F10" s="96"/>
      <c r="G10" s="97"/>
      <c r="H10" s="97"/>
      <c r="I10" s="98"/>
      <c r="J10" s="8"/>
      <c r="K10" s="6"/>
      <c r="L10" s="9"/>
    </row>
    <row r="11" spans="1:14" ht="19.149999999999999" customHeight="1">
      <c r="A11" s="5"/>
      <c r="B11" s="186" t="s">
        <v>9</v>
      </c>
      <c r="C11" s="129">
        <f>C12</f>
        <v>20189005295</v>
      </c>
      <c r="D11" s="94">
        <f t="shared" ref="D11:I11" si="0">D12</f>
        <v>0.13703203112662318</v>
      </c>
      <c r="E11" s="94">
        <f t="shared" si="0"/>
        <v>0.13703203112662318</v>
      </c>
      <c r="F11" s="94">
        <f t="shared" si="0"/>
        <v>2766540402</v>
      </c>
      <c r="G11" s="94">
        <f t="shared" si="0"/>
        <v>13.703203112662319</v>
      </c>
      <c r="H11" s="94">
        <f t="shared" si="0"/>
        <v>13.703203112662319</v>
      </c>
      <c r="I11" s="94">
        <f t="shared" si="0"/>
        <v>13.566171081535696</v>
      </c>
      <c r="J11" s="6">
        <f>C11-F11</f>
        <v>17422464893</v>
      </c>
      <c r="K11" s="6">
        <f>J11/C11*100</f>
        <v>86.296796887337678</v>
      </c>
      <c r="L11" s="9"/>
      <c r="N11" s="1"/>
    </row>
    <row r="12" spans="1:14" ht="25.15" customHeight="1">
      <c r="A12" s="236" t="s">
        <v>66</v>
      </c>
      <c r="B12" s="237"/>
      <c r="C12" s="127">
        <f>C13+C49+C55+C64</f>
        <v>20189005295</v>
      </c>
      <c r="D12" s="126">
        <f>E12</f>
        <v>0.13703203112662318</v>
      </c>
      <c r="E12" s="126">
        <f>F12/C12*100%</f>
        <v>0.13703203112662318</v>
      </c>
      <c r="F12" s="126">
        <f>F13+F64+F49+F55</f>
        <v>2766540402</v>
      </c>
      <c r="G12" s="126">
        <f>H12</f>
        <v>13.703203112662319</v>
      </c>
      <c r="H12" s="126">
        <f>F12/C12*100</f>
        <v>13.703203112662319</v>
      </c>
      <c r="I12" s="126">
        <f>H12-E12</f>
        <v>13.566171081535696</v>
      </c>
      <c r="J12" s="126">
        <f>J13+J64+J49+J55</f>
        <v>17422464893</v>
      </c>
      <c r="K12" s="146">
        <f>J12/C12*100</f>
        <v>86.296796887337678</v>
      </c>
      <c r="L12" s="128"/>
      <c r="N12" s="1"/>
    </row>
    <row r="13" spans="1:14" ht="19.149999999999999" customHeight="1">
      <c r="A13" s="54" t="s">
        <v>79</v>
      </c>
      <c r="B13" s="55" t="s">
        <v>11</v>
      </c>
      <c r="C13" s="56">
        <f t="shared" ref="C13:F13" si="1">C14+C21+C25+C27+C36+C39+C43</f>
        <v>13824959781</v>
      </c>
      <c r="D13" s="57">
        <f>E13</f>
        <v>0.19881001070089116</v>
      </c>
      <c r="E13" s="57">
        <f>F13/C13*100%</f>
        <v>0.19881001070089116</v>
      </c>
      <c r="F13" s="57">
        <f t="shared" si="1"/>
        <v>2748540402</v>
      </c>
      <c r="G13" s="57">
        <f>H13</f>
        <v>19.881001070089116</v>
      </c>
      <c r="H13" s="57">
        <f>F13/C13*100</f>
        <v>19.881001070089116</v>
      </c>
      <c r="I13" s="57">
        <f>H13-E13</f>
        <v>19.682191059388224</v>
      </c>
      <c r="J13" s="59">
        <f>C13-F13</f>
        <v>11076419379</v>
      </c>
      <c r="K13" s="58">
        <f>J13/C13*100</f>
        <v>80.118998929910873</v>
      </c>
      <c r="L13" s="58">
        <f>L14+L21+L25+L27+L36+L39+L43</f>
        <v>0</v>
      </c>
      <c r="N13" s="1"/>
    </row>
    <row r="14" spans="1:14" s="47" customFormat="1" ht="19.149999999999999" customHeight="1">
      <c r="A14" s="35" t="s">
        <v>83</v>
      </c>
      <c r="B14" s="31" t="s">
        <v>12</v>
      </c>
      <c r="C14" s="50">
        <f t="shared" ref="C14:H14" si="2">SUM(C15:C20)</f>
        <v>140773000</v>
      </c>
      <c r="D14" s="38">
        <f t="shared" si="2"/>
        <v>0.17599207383845231</v>
      </c>
      <c r="E14" s="38">
        <f t="shared" si="2"/>
        <v>0.17599207383845231</v>
      </c>
      <c r="F14" s="36">
        <f t="shared" si="2"/>
        <v>13500000</v>
      </c>
      <c r="G14" s="90">
        <f t="shared" si="2"/>
        <v>17.599207383845229</v>
      </c>
      <c r="H14" s="90">
        <f t="shared" si="2"/>
        <v>17.599207383845229</v>
      </c>
      <c r="I14" s="99">
        <f>E14-H14</f>
        <v>-17.423215310006778</v>
      </c>
      <c r="J14" s="52">
        <f>C14-F14</f>
        <v>127273000</v>
      </c>
      <c r="K14" s="51">
        <f>J14/C14*100</f>
        <v>90.41009284450854</v>
      </c>
      <c r="L14" s="53"/>
      <c r="N14" s="46"/>
    </row>
    <row r="15" spans="1:14" ht="19.149999999999999" customHeight="1">
      <c r="A15" s="10"/>
      <c r="B15" s="48" t="s">
        <v>13</v>
      </c>
      <c r="C15" s="23">
        <v>76708000</v>
      </c>
      <c r="D15" s="11">
        <f>E15</f>
        <v>0.17599207383845231</v>
      </c>
      <c r="E15" s="11">
        <f>F15/C15*100%</f>
        <v>0.17599207383845231</v>
      </c>
      <c r="F15" s="100">
        <f>4500000+4500000+4500000</f>
        <v>13500000</v>
      </c>
      <c r="G15" s="101">
        <f>H15</f>
        <v>17.599207383845229</v>
      </c>
      <c r="H15" s="101">
        <f>F15/C15*100</f>
        <v>17.599207383845229</v>
      </c>
      <c r="I15" s="102">
        <f>H15-E15</f>
        <v>17.423215310006778</v>
      </c>
      <c r="J15" s="89">
        <f t="shared" ref="J15:J68" si="3">C15-F15</f>
        <v>63208000</v>
      </c>
      <c r="K15" s="12">
        <f>J15/C15*100</f>
        <v>82.400792616154774</v>
      </c>
      <c r="L15" s="13"/>
      <c r="N15" s="1"/>
    </row>
    <row r="16" spans="1:14" ht="19.149999999999999" customHeight="1">
      <c r="A16" s="10"/>
      <c r="B16" s="48" t="s">
        <v>14</v>
      </c>
      <c r="C16" s="23">
        <v>7350000</v>
      </c>
      <c r="D16" s="11">
        <f t="shared" ref="D16:D20" si="4">E16</f>
        <v>0</v>
      </c>
      <c r="E16" s="11">
        <f t="shared" ref="E16:E20" si="5">F16/C16*100</f>
        <v>0</v>
      </c>
      <c r="F16" s="100">
        <v>0</v>
      </c>
      <c r="G16" s="101">
        <f t="shared" ref="G16:G21" si="6">H16</f>
        <v>0</v>
      </c>
      <c r="H16" s="101">
        <f t="shared" ref="H16:H20" si="7">F16/C16*100</f>
        <v>0</v>
      </c>
      <c r="I16" s="102">
        <f t="shared" ref="I16:I20" si="8">H16-E16</f>
        <v>0</v>
      </c>
      <c r="J16" s="89">
        <f t="shared" si="3"/>
        <v>7350000</v>
      </c>
      <c r="K16" s="12">
        <f t="shared" ref="K16:K68" si="9">J16/C16*100</f>
        <v>100</v>
      </c>
      <c r="L16" s="13"/>
      <c r="N16" s="1"/>
    </row>
    <row r="17" spans="1:14" ht="19.149999999999999" customHeight="1">
      <c r="A17" s="10"/>
      <c r="B17" s="48" t="s">
        <v>15</v>
      </c>
      <c r="C17" s="23">
        <v>8450000</v>
      </c>
      <c r="D17" s="11">
        <f t="shared" si="4"/>
        <v>0</v>
      </c>
      <c r="E17" s="11">
        <f t="shared" si="5"/>
        <v>0</v>
      </c>
      <c r="F17" s="100">
        <v>0</v>
      </c>
      <c r="G17" s="101">
        <f t="shared" si="6"/>
        <v>0</v>
      </c>
      <c r="H17" s="101">
        <f t="shared" si="7"/>
        <v>0</v>
      </c>
      <c r="I17" s="102">
        <f t="shared" si="8"/>
        <v>0</v>
      </c>
      <c r="J17" s="89">
        <f t="shared" si="3"/>
        <v>8450000</v>
      </c>
      <c r="K17" s="12">
        <f t="shared" si="9"/>
        <v>100</v>
      </c>
      <c r="L17" s="13"/>
      <c r="N17" s="1"/>
    </row>
    <row r="18" spans="1:14" ht="19.149999999999999" customHeight="1">
      <c r="A18" s="10"/>
      <c r="B18" s="48" t="s">
        <v>16</v>
      </c>
      <c r="C18" s="23">
        <v>7350000</v>
      </c>
      <c r="D18" s="11">
        <f t="shared" si="4"/>
        <v>0</v>
      </c>
      <c r="E18" s="11">
        <f t="shared" si="5"/>
        <v>0</v>
      </c>
      <c r="F18" s="100">
        <v>0</v>
      </c>
      <c r="G18" s="101">
        <f t="shared" si="6"/>
        <v>0</v>
      </c>
      <c r="H18" s="101">
        <f t="shared" si="7"/>
        <v>0</v>
      </c>
      <c r="I18" s="102">
        <f t="shared" si="8"/>
        <v>0</v>
      </c>
      <c r="J18" s="89">
        <f t="shared" si="3"/>
        <v>7350000</v>
      </c>
      <c r="K18" s="12">
        <f t="shared" si="9"/>
        <v>100</v>
      </c>
      <c r="L18" s="13"/>
      <c r="N18" s="1"/>
    </row>
    <row r="19" spans="1:14" ht="19.149999999999999" customHeight="1">
      <c r="A19" s="10"/>
      <c r="B19" s="48" t="s">
        <v>17</v>
      </c>
      <c r="C19" s="23">
        <v>8450000</v>
      </c>
      <c r="D19" s="11">
        <f t="shared" si="4"/>
        <v>0</v>
      </c>
      <c r="E19" s="11">
        <f t="shared" si="5"/>
        <v>0</v>
      </c>
      <c r="F19" s="100">
        <v>0</v>
      </c>
      <c r="G19" s="101">
        <f t="shared" si="6"/>
        <v>0</v>
      </c>
      <c r="H19" s="101">
        <f t="shared" si="7"/>
        <v>0</v>
      </c>
      <c r="I19" s="102">
        <f t="shared" si="8"/>
        <v>0</v>
      </c>
      <c r="J19" s="89">
        <f t="shared" si="3"/>
        <v>8450000</v>
      </c>
      <c r="K19" s="12">
        <f t="shared" si="9"/>
        <v>100</v>
      </c>
      <c r="L19" s="13"/>
      <c r="N19" s="1"/>
    </row>
    <row r="20" spans="1:14" ht="33" customHeight="1">
      <c r="A20" s="10"/>
      <c r="B20" s="49" t="s">
        <v>18</v>
      </c>
      <c r="C20" s="23">
        <v>32465000</v>
      </c>
      <c r="D20" s="11">
        <f t="shared" si="4"/>
        <v>0</v>
      </c>
      <c r="E20" s="11">
        <f t="shared" si="5"/>
        <v>0</v>
      </c>
      <c r="F20" s="100">
        <v>0</v>
      </c>
      <c r="G20" s="101">
        <f t="shared" si="6"/>
        <v>0</v>
      </c>
      <c r="H20" s="101">
        <f t="shared" si="7"/>
        <v>0</v>
      </c>
      <c r="I20" s="102">
        <f t="shared" si="8"/>
        <v>0</v>
      </c>
      <c r="J20" s="89">
        <f t="shared" si="3"/>
        <v>32465000</v>
      </c>
      <c r="K20" s="12">
        <f t="shared" si="9"/>
        <v>100</v>
      </c>
      <c r="L20" s="13"/>
      <c r="N20" s="1"/>
    </row>
    <row r="21" spans="1:14" s="47" customFormat="1" ht="19.149999999999999" customHeight="1">
      <c r="A21" s="35" t="s">
        <v>84</v>
      </c>
      <c r="B21" s="31" t="s">
        <v>19</v>
      </c>
      <c r="C21" s="50">
        <f>SUM(C22:C24)</f>
        <v>10581287262</v>
      </c>
      <c r="D21" s="38">
        <f>SUM(D22:D24)</f>
        <v>0.38685231430453193</v>
      </c>
      <c r="E21" s="38">
        <f>SUM(E22:E24)</f>
        <v>0.38685231430453193</v>
      </c>
      <c r="F21" s="36">
        <f>SUM(F22:F24)</f>
        <v>2471153800</v>
      </c>
      <c r="G21" s="90">
        <f t="shared" si="6"/>
        <v>38.685231430453186</v>
      </c>
      <c r="H21" s="90">
        <f>SUM(H22:H24)</f>
        <v>38.685231430453186</v>
      </c>
      <c r="I21" s="99">
        <f>E21-H21</f>
        <v>-38.298379116148652</v>
      </c>
      <c r="J21" s="52">
        <f t="shared" si="3"/>
        <v>8110133462</v>
      </c>
      <c r="K21" s="51">
        <f t="shared" si="9"/>
        <v>76.646000256750241</v>
      </c>
      <c r="L21" s="53"/>
      <c r="N21" s="46"/>
    </row>
    <row r="22" spans="1:14" ht="19.149999999999999" customHeight="1">
      <c r="A22" s="10"/>
      <c r="B22" s="48" t="s">
        <v>20</v>
      </c>
      <c r="C22" s="23">
        <v>10532422262</v>
      </c>
      <c r="D22" s="85">
        <f>E22</f>
        <v>0.23412504157725916</v>
      </c>
      <c r="E22" s="85">
        <f>F22/C22*100%</f>
        <v>0.23412504157725916</v>
      </c>
      <c r="F22" s="103">
        <f>586844600+275805000+987621900+615632300</f>
        <v>2465903800</v>
      </c>
      <c r="G22" s="104">
        <f>H22</f>
        <v>23.412504157725916</v>
      </c>
      <c r="H22" s="104">
        <f>F22/C22*100</f>
        <v>23.412504157725916</v>
      </c>
      <c r="I22" s="105">
        <f>E22-H22</f>
        <v>-23.178379116148658</v>
      </c>
      <c r="J22" s="89">
        <f t="shared" si="3"/>
        <v>8066518462</v>
      </c>
      <c r="K22" s="12">
        <f t="shared" si="9"/>
        <v>76.587495842274095</v>
      </c>
      <c r="L22" s="13"/>
      <c r="N22" s="1"/>
    </row>
    <row r="23" spans="1:14" ht="19.149999999999999" customHeight="1">
      <c r="A23" s="10"/>
      <c r="B23" s="48" t="s">
        <v>21</v>
      </c>
      <c r="C23" s="23">
        <v>14490000</v>
      </c>
      <c r="D23" s="85">
        <f t="shared" ref="D23:D24" si="10">E23</f>
        <v>0</v>
      </c>
      <c r="E23" s="85">
        <f t="shared" ref="E23:E24" si="11">F23/C23*100%</f>
        <v>0</v>
      </c>
      <c r="F23" s="103">
        <v>0</v>
      </c>
      <c r="G23" s="104">
        <f t="shared" ref="G23:G24" si="12">H23</f>
        <v>0</v>
      </c>
      <c r="H23" s="104">
        <f t="shared" ref="H23:H24" si="13">F23/C23*100</f>
        <v>0</v>
      </c>
      <c r="I23" s="105">
        <f t="shared" ref="I23:I24" si="14">E23-H23</f>
        <v>0</v>
      </c>
      <c r="J23" s="89">
        <f t="shared" si="3"/>
        <v>14490000</v>
      </c>
      <c r="K23" s="12">
        <f t="shared" si="9"/>
        <v>100</v>
      </c>
      <c r="L23" s="13"/>
      <c r="N23" s="1"/>
    </row>
    <row r="24" spans="1:14" ht="28.9" customHeight="1">
      <c r="A24" s="10"/>
      <c r="B24" s="49" t="s">
        <v>22</v>
      </c>
      <c r="C24" s="23">
        <v>34375000</v>
      </c>
      <c r="D24" s="85">
        <f t="shared" si="10"/>
        <v>0.15272727272727274</v>
      </c>
      <c r="E24" s="85">
        <f t="shared" si="11"/>
        <v>0.15272727272727274</v>
      </c>
      <c r="F24" s="103">
        <f>1750000+1750000+1750000</f>
        <v>5250000</v>
      </c>
      <c r="G24" s="104">
        <f t="shared" si="12"/>
        <v>15.272727272727273</v>
      </c>
      <c r="H24" s="104">
        <f t="shared" si="13"/>
        <v>15.272727272727273</v>
      </c>
      <c r="I24" s="105">
        <f t="shared" si="14"/>
        <v>-15.120000000000001</v>
      </c>
      <c r="J24" s="89">
        <f t="shared" si="3"/>
        <v>29125000</v>
      </c>
      <c r="K24" s="12">
        <f t="shared" si="9"/>
        <v>84.727272727272734</v>
      </c>
      <c r="L24" s="13"/>
      <c r="N24" s="1"/>
    </row>
    <row r="25" spans="1:14" s="47" customFormat="1" ht="19.149999999999999" customHeight="1">
      <c r="A25" s="35" t="s">
        <v>85</v>
      </c>
      <c r="B25" s="31" t="s">
        <v>23</v>
      </c>
      <c r="C25" s="50">
        <f>C26</f>
        <v>22520000</v>
      </c>
      <c r="D25" s="38">
        <f>D26</f>
        <v>0</v>
      </c>
      <c r="E25" s="38">
        <f>E26</f>
        <v>0</v>
      </c>
      <c r="F25" s="36">
        <f>F26</f>
        <v>4500000</v>
      </c>
      <c r="G25" s="90">
        <f>H25</f>
        <v>19.982238010657195</v>
      </c>
      <c r="H25" s="90">
        <f>SUM(H26)</f>
        <v>19.982238010657195</v>
      </c>
      <c r="I25" s="99">
        <f>E25-H25</f>
        <v>-19.982238010657195</v>
      </c>
      <c r="J25" s="52">
        <f t="shared" si="3"/>
        <v>18020000</v>
      </c>
      <c r="K25" s="51">
        <f t="shared" si="9"/>
        <v>80.017761989342802</v>
      </c>
      <c r="L25" s="53"/>
      <c r="N25" s="46"/>
    </row>
    <row r="26" spans="1:14" ht="19.149999999999999" customHeight="1">
      <c r="A26" s="10"/>
      <c r="B26" s="48" t="s">
        <v>24</v>
      </c>
      <c r="C26" s="23">
        <v>22520000</v>
      </c>
      <c r="D26" s="11">
        <f>E26</f>
        <v>0</v>
      </c>
      <c r="E26" s="11">
        <v>0</v>
      </c>
      <c r="F26" s="134">
        <f>1500000+1500000+1500000</f>
        <v>4500000</v>
      </c>
      <c r="G26" s="101">
        <f>H26</f>
        <v>19.982238010657195</v>
      </c>
      <c r="H26" s="101">
        <f>F26/C26*100</f>
        <v>19.982238010657195</v>
      </c>
      <c r="I26" s="102">
        <f>E26-H26</f>
        <v>-19.982238010657195</v>
      </c>
      <c r="J26" s="89">
        <f t="shared" si="3"/>
        <v>18020000</v>
      </c>
      <c r="K26" s="12">
        <f t="shared" si="9"/>
        <v>80.017761989342802</v>
      </c>
      <c r="L26" s="13"/>
      <c r="N26" s="1"/>
    </row>
    <row r="27" spans="1:14" s="47" customFormat="1" ht="19.149999999999999" customHeight="1">
      <c r="A27" s="35" t="s">
        <v>86</v>
      </c>
      <c r="B27" s="31" t="s">
        <v>25</v>
      </c>
      <c r="C27" s="50">
        <f>SUM(C28:C35)</f>
        <v>835391786</v>
      </c>
      <c r="D27" s="38">
        <f>SUM(D28:D35)</f>
        <v>0</v>
      </c>
      <c r="E27" s="38">
        <f>SUM(E28:E35)</f>
        <v>0</v>
      </c>
      <c r="F27" s="36">
        <f>SUM(F28:F35)</f>
        <v>0</v>
      </c>
      <c r="G27" s="90">
        <f t="shared" ref="G27:G35" si="15">H27</f>
        <v>0</v>
      </c>
      <c r="H27" s="90">
        <f>SUM(H28:H35)</f>
        <v>0</v>
      </c>
      <c r="I27" s="99">
        <f>E27-H27</f>
        <v>0</v>
      </c>
      <c r="J27" s="52">
        <f t="shared" si="3"/>
        <v>835391786</v>
      </c>
      <c r="K27" s="51">
        <f t="shared" si="9"/>
        <v>100</v>
      </c>
      <c r="L27" s="53"/>
      <c r="N27" s="46"/>
    </row>
    <row r="28" spans="1:14" ht="31.5" customHeight="1">
      <c r="A28" s="10"/>
      <c r="B28" s="49" t="s">
        <v>26</v>
      </c>
      <c r="C28" s="23">
        <v>40488069</v>
      </c>
      <c r="D28" s="14">
        <f>E28</f>
        <v>0</v>
      </c>
      <c r="E28" s="14">
        <f>F28/C28*100%</f>
        <v>0</v>
      </c>
      <c r="F28" s="106"/>
      <c r="G28" s="101">
        <f t="shared" si="15"/>
        <v>0</v>
      </c>
      <c r="H28" s="101">
        <f t="shared" ref="H28:H35" si="16">F28/C28*100</f>
        <v>0</v>
      </c>
      <c r="I28" s="102">
        <f>E28-H28</f>
        <v>0</v>
      </c>
      <c r="J28" s="89">
        <f t="shared" si="3"/>
        <v>40488069</v>
      </c>
      <c r="K28" s="12">
        <f t="shared" si="9"/>
        <v>100</v>
      </c>
      <c r="L28" s="13"/>
      <c r="N28" s="1"/>
    </row>
    <row r="29" spans="1:14" ht="19.149999999999999" customHeight="1">
      <c r="A29" s="10"/>
      <c r="B29" s="48" t="s">
        <v>27</v>
      </c>
      <c r="C29" s="23">
        <v>163290789</v>
      </c>
      <c r="D29" s="14">
        <f t="shared" ref="D29:D35" si="17">E29</f>
        <v>0</v>
      </c>
      <c r="E29" s="14">
        <f t="shared" ref="E29:E35" si="18">F29/C29*100%</f>
        <v>0</v>
      </c>
      <c r="F29" s="106">
        <v>0</v>
      </c>
      <c r="G29" s="101">
        <f t="shared" si="15"/>
        <v>0</v>
      </c>
      <c r="H29" s="101">
        <f t="shared" si="16"/>
        <v>0</v>
      </c>
      <c r="I29" s="102">
        <f t="shared" ref="I29:I35" si="19">E29-H29</f>
        <v>0</v>
      </c>
      <c r="J29" s="89">
        <f t="shared" si="3"/>
        <v>163290789</v>
      </c>
      <c r="K29" s="12">
        <f t="shared" si="9"/>
        <v>100</v>
      </c>
      <c r="L29" s="13"/>
      <c r="N29" s="1"/>
    </row>
    <row r="30" spans="1:14" ht="19.149999999999999" customHeight="1">
      <c r="A30" s="10"/>
      <c r="B30" s="48" t="s">
        <v>67</v>
      </c>
      <c r="C30" s="23">
        <v>83508693</v>
      </c>
      <c r="D30" s="14">
        <f t="shared" si="17"/>
        <v>0</v>
      </c>
      <c r="E30" s="14">
        <f t="shared" si="18"/>
        <v>0</v>
      </c>
      <c r="F30" s="106"/>
      <c r="G30" s="101"/>
      <c r="H30" s="101"/>
      <c r="I30" s="102"/>
      <c r="J30" s="89"/>
      <c r="K30" s="12"/>
      <c r="L30" s="13"/>
      <c r="N30" s="1"/>
    </row>
    <row r="31" spans="1:14" ht="19.149999999999999" customHeight="1">
      <c r="A31" s="10"/>
      <c r="B31" s="48" t="s">
        <v>28</v>
      </c>
      <c r="C31" s="23">
        <v>111757000</v>
      </c>
      <c r="D31" s="14">
        <f t="shared" si="17"/>
        <v>0</v>
      </c>
      <c r="E31" s="14">
        <f t="shared" si="18"/>
        <v>0</v>
      </c>
      <c r="F31" s="106">
        <v>0</v>
      </c>
      <c r="G31" s="101">
        <f t="shared" si="15"/>
        <v>0</v>
      </c>
      <c r="H31" s="101">
        <f t="shared" si="16"/>
        <v>0</v>
      </c>
      <c r="I31" s="102">
        <f t="shared" si="19"/>
        <v>0</v>
      </c>
      <c r="J31" s="89">
        <f t="shared" si="3"/>
        <v>111757000</v>
      </c>
      <c r="K31" s="12">
        <f t="shared" si="9"/>
        <v>100</v>
      </c>
      <c r="L31" s="13"/>
      <c r="N31" s="1"/>
    </row>
    <row r="32" spans="1:14" ht="19.149999999999999" customHeight="1">
      <c r="A32" s="10"/>
      <c r="B32" s="48" t="s">
        <v>29</v>
      </c>
      <c r="C32" s="23">
        <v>91327220</v>
      </c>
      <c r="D32" s="14">
        <f t="shared" si="17"/>
        <v>0</v>
      </c>
      <c r="E32" s="14">
        <f t="shared" si="18"/>
        <v>0</v>
      </c>
      <c r="F32" s="106"/>
      <c r="G32" s="101">
        <f t="shared" si="15"/>
        <v>0</v>
      </c>
      <c r="H32" s="101">
        <f t="shared" si="16"/>
        <v>0</v>
      </c>
      <c r="I32" s="102">
        <f t="shared" si="19"/>
        <v>0</v>
      </c>
      <c r="J32" s="89">
        <f t="shared" si="3"/>
        <v>91327220</v>
      </c>
      <c r="K32" s="12">
        <f t="shared" si="9"/>
        <v>100</v>
      </c>
      <c r="L32" s="13"/>
      <c r="N32" s="1"/>
    </row>
    <row r="33" spans="1:14" ht="19.149999999999999" customHeight="1">
      <c r="A33" s="10"/>
      <c r="B33" s="48" t="s">
        <v>30</v>
      </c>
      <c r="C33" s="23">
        <v>57195015</v>
      </c>
      <c r="D33" s="14">
        <f t="shared" si="17"/>
        <v>0</v>
      </c>
      <c r="E33" s="14">
        <f t="shared" si="18"/>
        <v>0</v>
      </c>
      <c r="F33" s="106"/>
      <c r="G33" s="101">
        <f t="shared" si="15"/>
        <v>0</v>
      </c>
      <c r="H33" s="101">
        <f t="shared" si="16"/>
        <v>0</v>
      </c>
      <c r="I33" s="102">
        <f t="shared" si="19"/>
        <v>0</v>
      </c>
      <c r="J33" s="89">
        <f t="shared" si="3"/>
        <v>57195015</v>
      </c>
      <c r="K33" s="12">
        <f t="shared" si="9"/>
        <v>100</v>
      </c>
      <c r="L33" s="13"/>
      <c r="N33" s="1"/>
    </row>
    <row r="34" spans="1:14" ht="19.149999999999999" customHeight="1">
      <c r="A34" s="10"/>
      <c r="B34" s="48" t="s">
        <v>31</v>
      </c>
      <c r="C34" s="23">
        <v>107700000</v>
      </c>
      <c r="D34" s="14">
        <f t="shared" si="17"/>
        <v>0</v>
      </c>
      <c r="E34" s="14">
        <f t="shared" si="18"/>
        <v>0</v>
      </c>
      <c r="F34" s="106">
        <v>0</v>
      </c>
      <c r="G34" s="101">
        <f t="shared" si="15"/>
        <v>0</v>
      </c>
      <c r="H34" s="101">
        <f t="shared" si="16"/>
        <v>0</v>
      </c>
      <c r="I34" s="102">
        <f t="shared" si="19"/>
        <v>0</v>
      </c>
      <c r="J34" s="89">
        <f t="shared" si="3"/>
        <v>107700000</v>
      </c>
      <c r="K34" s="12">
        <f t="shared" si="9"/>
        <v>100</v>
      </c>
      <c r="L34" s="13"/>
      <c r="N34" s="1"/>
    </row>
    <row r="35" spans="1:14" ht="19.149999999999999" customHeight="1">
      <c r="A35" s="10"/>
      <c r="B35" s="48" t="s">
        <v>32</v>
      </c>
      <c r="C35" s="23">
        <v>180125000</v>
      </c>
      <c r="D35" s="14">
        <f t="shared" si="17"/>
        <v>0</v>
      </c>
      <c r="E35" s="14">
        <f t="shared" si="18"/>
        <v>0</v>
      </c>
      <c r="F35" s="106"/>
      <c r="G35" s="101">
        <f t="shared" si="15"/>
        <v>0</v>
      </c>
      <c r="H35" s="101">
        <f t="shared" si="16"/>
        <v>0</v>
      </c>
      <c r="I35" s="102">
        <f t="shared" si="19"/>
        <v>0</v>
      </c>
      <c r="J35" s="89">
        <f t="shared" si="3"/>
        <v>180125000</v>
      </c>
      <c r="K35" s="12">
        <f t="shared" si="9"/>
        <v>100</v>
      </c>
      <c r="L35" s="13"/>
      <c r="N35" s="1"/>
    </row>
    <row r="36" spans="1:14" s="47" customFormat="1" ht="19.149999999999999" customHeight="1">
      <c r="A36" s="35" t="s">
        <v>87</v>
      </c>
      <c r="B36" s="31" t="s">
        <v>33</v>
      </c>
      <c r="C36" s="50">
        <f>SUM(C37:C38)</f>
        <v>135067517</v>
      </c>
      <c r="D36" s="38">
        <f t="shared" ref="D36:I36" si="20">SUM(D38:D38)</f>
        <v>0</v>
      </c>
      <c r="E36" s="38">
        <f t="shared" si="20"/>
        <v>0</v>
      </c>
      <c r="F36" s="36">
        <f t="shared" si="20"/>
        <v>0</v>
      </c>
      <c r="G36" s="36">
        <f t="shared" si="20"/>
        <v>0</v>
      </c>
      <c r="H36" s="36">
        <f t="shared" si="20"/>
        <v>0</v>
      </c>
      <c r="I36" s="36">
        <f t="shared" si="20"/>
        <v>0</v>
      </c>
      <c r="J36" s="52">
        <f t="shared" si="3"/>
        <v>135067517</v>
      </c>
      <c r="K36" s="51">
        <f t="shared" si="9"/>
        <v>100</v>
      </c>
      <c r="L36" s="53"/>
      <c r="N36" s="46"/>
    </row>
    <row r="37" spans="1:14" s="47" customFormat="1" ht="19.149999999999999" customHeight="1">
      <c r="A37" s="130"/>
      <c r="B37" s="131" t="s">
        <v>72</v>
      </c>
      <c r="C37" s="132">
        <v>81000000</v>
      </c>
      <c r="D37" s="133">
        <f>E37</f>
        <v>0</v>
      </c>
      <c r="E37" s="133">
        <f>F37/C37*100%</f>
        <v>0</v>
      </c>
      <c r="F37" s="134">
        <v>0</v>
      </c>
      <c r="G37" s="134">
        <f>H37</f>
        <v>0</v>
      </c>
      <c r="H37" s="134">
        <f>F37/C37*100</f>
        <v>0</v>
      </c>
      <c r="I37" s="134">
        <f>E37-H37</f>
        <v>0</v>
      </c>
      <c r="J37" s="122">
        <f>C37-F37</f>
        <v>81000000</v>
      </c>
      <c r="K37" s="123">
        <f>J37/C37*100</f>
        <v>100</v>
      </c>
      <c r="L37" s="135"/>
      <c r="N37" s="46"/>
    </row>
    <row r="38" spans="1:14" ht="34.5" customHeight="1">
      <c r="A38" s="10"/>
      <c r="B38" s="49" t="s">
        <v>35</v>
      </c>
      <c r="C38" s="23">
        <v>54067517</v>
      </c>
      <c r="D38" s="133">
        <f>E38</f>
        <v>0</v>
      </c>
      <c r="E38" s="133">
        <f>F38/C38*100%</f>
        <v>0</v>
      </c>
      <c r="F38" s="106">
        <v>0</v>
      </c>
      <c r="G38" s="134">
        <f>H38</f>
        <v>0</v>
      </c>
      <c r="H38" s="134">
        <f>F38/C38*100</f>
        <v>0</v>
      </c>
      <c r="I38" s="134">
        <f>E38-H38</f>
        <v>0</v>
      </c>
      <c r="J38" s="89">
        <f t="shared" si="3"/>
        <v>54067517</v>
      </c>
      <c r="K38" s="12">
        <f t="shared" si="9"/>
        <v>100</v>
      </c>
      <c r="L38" s="13"/>
      <c r="N38" s="1"/>
    </row>
    <row r="39" spans="1:14" s="47" customFormat="1" ht="19.149999999999999" customHeight="1">
      <c r="A39" s="35" t="s">
        <v>86</v>
      </c>
      <c r="B39" s="31" t="s">
        <v>34</v>
      </c>
      <c r="C39" s="50">
        <f>SUM(C40:C42)</f>
        <v>1604692216</v>
      </c>
      <c r="D39" s="38">
        <f>SUM(D40:D42)</f>
        <v>1.2734014131738108E-2</v>
      </c>
      <c r="E39" s="38">
        <f>SUM(E40:E42)</f>
        <v>0.2574066216482046</v>
      </c>
      <c r="F39" s="36">
        <f>SUM(F40:F42)</f>
        <v>259386602</v>
      </c>
      <c r="G39" s="90">
        <f t="shared" ref="G39:G42" si="21">H39</f>
        <v>25.74066216482046</v>
      </c>
      <c r="H39" s="90">
        <f>SUM(H40:H42)</f>
        <v>25.74066216482046</v>
      </c>
      <c r="I39" s="99">
        <f>E39-H39</f>
        <v>-25.483255543172255</v>
      </c>
      <c r="J39" s="52">
        <f t="shared" si="3"/>
        <v>1345305614</v>
      </c>
      <c r="K39" s="51">
        <f t="shared" si="9"/>
        <v>83.835741245971121</v>
      </c>
      <c r="L39" s="53"/>
      <c r="N39" s="46"/>
    </row>
    <row r="40" spans="1:14" ht="19.149999999999999" customHeight="1">
      <c r="A40" s="10"/>
      <c r="B40" s="48" t="s">
        <v>36</v>
      </c>
      <c r="C40" s="23">
        <v>39341496</v>
      </c>
      <c r="D40" s="14">
        <v>0</v>
      </c>
      <c r="E40" s="14">
        <f>F40/C40*100%</f>
        <v>0</v>
      </c>
      <c r="F40" s="106">
        <v>0</v>
      </c>
      <c r="G40" s="104">
        <f t="shared" si="21"/>
        <v>0</v>
      </c>
      <c r="H40" s="104">
        <f t="shared" ref="H40:H42" si="22">F40/C40*100</f>
        <v>0</v>
      </c>
      <c r="I40" s="105">
        <f t="shared" ref="I40:I42" si="23">E40-H40</f>
        <v>0</v>
      </c>
      <c r="J40" s="89">
        <f t="shared" si="3"/>
        <v>39341496</v>
      </c>
      <c r="K40" s="12">
        <f t="shared" si="9"/>
        <v>100</v>
      </c>
      <c r="L40" s="13"/>
      <c r="N40" s="1"/>
    </row>
    <row r="41" spans="1:14" ht="19.149999999999999" customHeight="1">
      <c r="A41" s="10"/>
      <c r="B41" s="48" t="s">
        <v>37</v>
      </c>
      <c r="C41" s="23">
        <v>532950720</v>
      </c>
      <c r="D41" s="14">
        <f t="shared" ref="D41" si="24">E41</f>
        <v>1.2734014131738108E-2</v>
      </c>
      <c r="E41" s="14">
        <f t="shared" ref="E41:E42" si="25">F41/C41*100%</f>
        <v>1.2734014131738108E-2</v>
      </c>
      <c r="F41" s="106">
        <v>6786602</v>
      </c>
      <c r="G41" s="104">
        <f t="shared" si="21"/>
        <v>1.2734014131738109</v>
      </c>
      <c r="H41" s="104">
        <f t="shared" si="22"/>
        <v>1.2734014131738109</v>
      </c>
      <c r="I41" s="105">
        <f t="shared" si="23"/>
        <v>-1.2606673990420729</v>
      </c>
      <c r="J41" s="89">
        <f t="shared" si="3"/>
        <v>526164118</v>
      </c>
      <c r="K41" s="12">
        <f t="shared" si="9"/>
        <v>98.726598586826185</v>
      </c>
      <c r="L41" s="13"/>
      <c r="N41" s="1"/>
    </row>
    <row r="42" spans="1:14" ht="19.149999999999999" customHeight="1">
      <c r="A42" s="10"/>
      <c r="B42" s="60" t="s">
        <v>38</v>
      </c>
      <c r="C42" s="23">
        <v>1032400000</v>
      </c>
      <c r="D42" s="14">
        <v>0</v>
      </c>
      <c r="E42" s="14">
        <f t="shared" si="25"/>
        <v>0.24467260751646649</v>
      </c>
      <c r="F42" s="106">
        <f>6200000+6200000+6200000+234000000</f>
        <v>252600000</v>
      </c>
      <c r="G42" s="104">
        <f t="shared" si="21"/>
        <v>24.467260751646648</v>
      </c>
      <c r="H42" s="104">
        <f t="shared" si="22"/>
        <v>24.467260751646648</v>
      </c>
      <c r="I42" s="105">
        <f t="shared" si="23"/>
        <v>-24.222588144130182</v>
      </c>
      <c r="J42" s="89">
        <f t="shared" si="3"/>
        <v>779800000</v>
      </c>
      <c r="K42" s="12">
        <f t="shared" si="9"/>
        <v>75.532739248353352</v>
      </c>
      <c r="L42" s="13"/>
      <c r="N42" s="1"/>
    </row>
    <row r="43" spans="1:14" s="61" customFormat="1" ht="19.149999999999999" customHeight="1">
      <c r="A43" s="45" t="s">
        <v>88</v>
      </c>
      <c r="B43" s="31" t="s">
        <v>39</v>
      </c>
      <c r="C43" s="37">
        <f>SUM(C44:C48)</f>
        <v>505228000</v>
      </c>
      <c r="D43" s="38">
        <f>SUM(D44:D47)</f>
        <v>0</v>
      </c>
      <c r="E43" s="39">
        <f>SUM(E44:E47)</f>
        <v>0</v>
      </c>
      <c r="F43" s="37">
        <f>SUM(F44:F48)</f>
        <v>0</v>
      </c>
      <c r="G43" s="91">
        <f>SUM(G44:G61)</f>
        <v>27.27272727272727</v>
      </c>
      <c r="H43" s="91">
        <f>SUM(H44:H61)</f>
        <v>27.27272727272727</v>
      </c>
      <c r="I43" s="91">
        <f>E43-H43</f>
        <v>-27.27272727272727</v>
      </c>
      <c r="J43" s="52">
        <f t="shared" si="3"/>
        <v>505228000</v>
      </c>
      <c r="K43" s="51">
        <f t="shared" si="9"/>
        <v>100</v>
      </c>
      <c r="L43" s="37"/>
      <c r="N43" s="62"/>
    </row>
    <row r="44" spans="1:14" ht="37.15" customHeight="1">
      <c r="A44" s="15"/>
      <c r="B44" s="64" t="s">
        <v>40</v>
      </c>
      <c r="C44" s="24">
        <v>206830000</v>
      </c>
      <c r="D44" s="14">
        <f>E44</f>
        <v>0</v>
      </c>
      <c r="E44" s="14">
        <f>F44/C44*100%</f>
        <v>0</v>
      </c>
      <c r="F44" s="107">
        <v>0</v>
      </c>
      <c r="G44" s="104">
        <f t="shared" ref="G44:G48" si="26">H44</f>
        <v>0</v>
      </c>
      <c r="H44" s="104">
        <f t="shared" ref="H44:H48" si="27">F44/C44*100</f>
        <v>0</v>
      </c>
      <c r="I44" s="118">
        <f t="shared" ref="I44:I47" si="28">E44-H44</f>
        <v>0</v>
      </c>
      <c r="J44" s="89">
        <f t="shared" si="3"/>
        <v>206830000</v>
      </c>
      <c r="K44" s="12">
        <f t="shared" si="9"/>
        <v>100</v>
      </c>
      <c r="L44" s="16"/>
    </row>
    <row r="45" spans="1:14" ht="37.15" customHeight="1">
      <c r="A45" s="15"/>
      <c r="B45" s="136" t="s">
        <v>73</v>
      </c>
      <c r="C45" s="24">
        <v>9240000</v>
      </c>
      <c r="D45" s="14">
        <f t="shared" ref="D45:D48" si="29">E45</f>
        <v>0</v>
      </c>
      <c r="E45" s="14">
        <f t="shared" ref="E45:E48" si="30">F45/C45*100%</f>
        <v>0</v>
      </c>
      <c r="F45" s="107">
        <v>0</v>
      </c>
      <c r="G45" s="104">
        <f t="shared" si="26"/>
        <v>0</v>
      </c>
      <c r="H45" s="104">
        <f t="shared" si="27"/>
        <v>0</v>
      </c>
      <c r="I45" s="118">
        <f t="shared" si="28"/>
        <v>0</v>
      </c>
      <c r="J45" s="89">
        <f t="shared" si="3"/>
        <v>9240000</v>
      </c>
      <c r="K45" s="12">
        <f t="shared" si="9"/>
        <v>100</v>
      </c>
      <c r="L45" s="16"/>
    </row>
    <row r="46" spans="1:14" ht="19.149999999999999" customHeight="1">
      <c r="A46" s="15"/>
      <c r="B46" s="63" t="s">
        <v>41</v>
      </c>
      <c r="C46" s="24">
        <v>118970000</v>
      </c>
      <c r="D46" s="14">
        <f t="shared" si="29"/>
        <v>0</v>
      </c>
      <c r="E46" s="14">
        <f t="shared" si="30"/>
        <v>0</v>
      </c>
      <c r="F46" s="107">
        <v>0</v>
      </c>
      <c r="G46" s="104">
        <f t="shared" si="26"/>
        <v>0</v>
      </c>
      <c r="H46" s="104">
        <f t="shared" si="27"/>
        <v>0</v>
      </c>
      <c r="I46" s="105">
        <f t="shared" si="28"/>
        <v>0</v>
      </c>
      <c r="J46" s="89">
        <f t="shared" si="3"/>
        <v>118970000</v>
      </c>
      <c r="K46" s="12">
        <f t="shared" si="9"/>
        <v>100</v>
      </c>
      <c r="L46" s="16"/>
    </row>
    <row r="47" spans="1:14" ht="19.149999999999999" customHeight="1">
      <c r="A47" s="15"/>
      <c r="B47" s="63" t="s">
        <v>42</v>
      </c>
      <c r="C47" s="24">
        <v>80708000</v>
      </c>
      <c r="D47" s="14">
        <f t="shared" si="29"/>
        <v>0</v>
      </c>
      <c r="E47" s="14">
        <f t="shared" si="30"/>
        <v>0</v>
      </c>
      <c r="F47" s="107">
        <v>0</v>
      </c>
      <c r="G47" s="104">
        <f t="shared" si="26"/>
        <v>0</v>
      </c>
      <c r="H47" s="104">
        <f t="shared" si="27"/>
        <v>0</v>
      </c>
      <c r="I47" s="105">
        <f t="shared" si="28"/>
        <v>0</v>
      </c>
      <c r="J47" s="89">
        <f t="shared" si="3"/>
        <v>80708000</v>
      </c>
      <c r="K47" s="12">
        <f t="shared" si="9"/>
        <v>100</v>
      </c>
      <c r="L47" s="16"/>
    </row>
    <row r="48" spans="1:14" ht="30" customHeight="1">
      <c r="A48" s="42"/>
      <c r="B48" s="136" t="s">
        <v>74</v>
      </c>
      <c r="C48" s="25">
        <v>89480000</v>
      </c>
      <c r="D48" s="14">
        <f t="shared" si="29"/>
        <v>0</v>
      </c>
      <c r="E48" s="14">
        <f t="shared" si="30"/>
        <v>0</v>
      </c>
      <c r="F48" s="107">
        <v>0</v>
      </c>
      <c r="G48" s="104">
        <f t="shared" si="26"/>
        <v>0</v>
      </c>
      <c r="H48" s="104">
        <f t="shared" si="27"/>
        <v>0</v>
      </c>
      <c r="I48" s="105">
        <f>E48-H48</f>
        <v>0</v>
      </c>
      <c r="J48" s="89">
        <f t="shared" si="3"/>
        <v>89480000</v>
      </c>
      <c r="K48" s="12">
        <f t="shared" si="9"/>
        <v>100</v>
      </c>
      <c r="L48" s="137"/>
    </row>
    <row r="49" spans="1:14" s="27" customFormat="1" ht="19.149999999999999" customHeight="1">
      <c r="A49" s="65" t="s">
        <v>80</v>
      </c>
      <c r="B49" s="55" t="s">
        <v>43</v>
      </c>
      <c r="C49" s="66">
        <f>C50+C52</f>
        <v>198012940</v>
      </c>
      <c r="D49" s="57">
        <f>D52</f>
        <v>0</v>
      </c>
      <c r="E49" s="67">
        <f>E50</f>
        <v>0</v>
      </c>
      <c r="F49" s="67">
        <f>F50+F52</f>
        <v>18000000</v>
      </c>
      <c r="G49" s="67">
        <f t="shared" ref="G49:I49" si="31">G50</f>
        <v>0</v>
      </c>
      <c r="H49" s="67">
        <f t="shared" si="31"/>
        <v>0</v>
      </c>
      <c r="I49" s="67">
        <f t="shared" si="31"/>
        <v>0</v>
      </c>
      <c r="J49" s="59">
        <f t="shared" si="3"/>
        <v>180012940</v>
      </c>
      <c r="K49" s="58">
        <f t="shared" si="9"/>
        <v>90.909684993314073</v>
      </c>
      <c r="L49" s="68"/>
      <c r="N49" s="28"/>
    </row>
    <row r="50" spans="1:14" s="47" customFormat="1" ht="19.149999999999999" customHeight="1">
      <c r="A50" s="70" t="s">
        <v>89</v>
      </c>
      <c r="B50" s="71" t="s">
        <v>44</v>
      </c>
      <c r="C50" s="72">
        <f>SUM(C51:C51)</f>
        <v>49535000</v>
      </c>
      <c r="D50" s="38">
        <f>SUM(D51:D51)</f>
        <v>0</v>
      </c>
      <c r="E50" s="109">
        <f>SUM(E51:E51)</f>
        <v>0</v>
      </c>
      <c r="F50" s="110">
        <f>SUM(F51)</f>
        <v>0</v>
      </c>
      <c r="G50" s="110">
        <f t="shared" ref="G50:I50" si="32">SUM(G51)</f>
        <v>0</v>
      </c>
      <c r="H50" s="110">
        <f t="shared" si="32"/>
        <v>0</v>
      </c>
      <c r="I50" s="110">
        <f t="shared" si="32"/>
        <v>0</v>
      </c>
      <c r="J50" s="52">
        <f t="shared" si="3"/>
        <v>49535000</v>
      </c>
      <c r="K50" s="51">
        <f t="shared" si="9"/>
        <v>100</v>
      </c>
      <c r="L50" s="73"/>
    </row>
    <row r="51" spans="1:14" ht="37.15" customHeight="1">
      <c r="A51" s="15"/>
      <c r="B51" s="74" t="s">
        <v>45</v>
      </c>
      <c r="C51" s="24">
        <v>49535000</v>
      </c>
      <c r="D51" s="14">
        <f t="shared" ref="D51" si="33">E51</f>
        <v>0</v>
      </c>
      <c r="E51" s="108">
        <f>F51/C51*100%</f>
        <v>0</v>
      </c>
      <c r="F51" s="107">
        <v>0</v>
      </c>
      <c r="G51" s="111">
        <f>H51</f>
        <v>0</v>
      </c>
      <c r="H51" s="111">
        <f>F51/C51*100</f>
        <v>0</v>
      </c>
      <c r="I51" s="108">
        <f>E51-H51</f>
        <v>0</v>
      </c>
      <c r="J51" s="89">
        <f t="shared" si="3"/>
        <v>49535000</v>
      </c>
      <c r="K51" s="12">
        <f t="shared" si="9"/>
        <v>100</v>
      </c>
      <c r="L51" s="17"/>
    </row>
    <row r="52" spans="1:14" s="27" customFormat="1" ht="19.149999999999999" customHeight="1">
      <c r="A52" s="45" t="s">
        <v>90</v>
      </c>
      <c r="B52" s="30" t="s">
        <v>46</v>
      </c>
      <c r="C52" s="40">
        <f>C53+C54</f>
        <v>148477940</v>
      </c>
      <c r="D52" s="38">
        <f>SUM(D53)</f>
        <v>0</v>
      </c>
      <c r="E52" s="39">
        <f>E53</f>
        <v>0</v>
      </c>
      <c r="F52" s="37">
        <f>SUM(F53:F54)</f>
        <v>18000000</v>
      </c>
      <c r="G52" s="37">
        <f t="shared" ref="G52:I52" si="34">SUM(G53:G54)</f>
        <v>13.636363636363635</v>
      </c>
      <c r="H52" s="37">
        <f t="shared" si="34"/>
        <v>13.636363636363635</v>
      </c>
      <c r="I52" s="37">
        <f t="shared" si="34"/>
        <v>-13.499999999999998</v>
      </c>
      <c r="J52" s="52">
        <f t="shared" si="3"/>
        <v>130477940</v>
      </c>
      <c r="K52" s="51">
        <f t="shared" si="9"/>
        <v>87.876986978671709</v>
      </c>
      <c r="L52" s="121"/>
      <c r="N52" s="28"/>
    </row>
    <row r="53" spans="1:14" ht="29.45" customHeight="1">
      <c r="A53" s="15"/>
      <c r="B53" s="64" t="s">
        <v>68</v>
      </c>
      <c r="C53" s="120">
        <v>16477940</v>
      </c>
      <c r="D53" s="14">
        <f t="shared" ref="D53:D54" si="35">E53</f>
        <v>0</v>
      </c>
      <c r="E53" s="108">
        <f>F53/C53*100%</f>
        <v>0</v>
      </c>
      <c r="F53" s="107">
        <v>0</v>
      </c>
      <c r="G53" s="111">
        <f>H53</f>
        <v>0</v>
      </c>
      <c r="H53" s="111">
        <f>F53/C53*100</f>
        <v>0</v>
      </c>
      <c r="I53" s="108">
        <f>E53-H53</f>
        <v>0</v>
      </c>
      <c r="J53" s="89">
        <f t="shared" si="3"/>
        <v>16477940</v>
      </c>
      <c r="K53" s="12">
        <f t="shared" si="9"/>
        <v>100</v>
      </c>
      <c r="L53" s="16"/>
    </row>
    <row r="54" spans="1:14" ht="29.45" customHeight="1">
      <c r="A54" s="15"/>
      <c r="B54" s="64" t="s">
        <v>47</v>
      </c>
      <c r="C54" s="120">
        <v>132000000</v>
      </c>
      <c r="D54" s="14">
        <f t="shared" si="35"/>
        <v>0.13636363636363635</v>
      </c>
      <c r="E54" s="108">
        <f>F54/C54*100%</f>
        <v>0.13636363636363635</v>
      </c>
      <c r="F54" s="107">
        <f>6000000+6000000+6000000</f>
        <v>18000000</v>
      </c>
      <c r="G54" s="111">
        <f>H54</f>
        <v>13.636363636363635</v>
      </c>
      <c r="H54" s="111">
        <f>F54/C54*100</f>
        <v>13.636363636363635</v>
      </c>
      <c r="I54" s="108">
        <f>E54-H54</f>
        <v>-13.499999999999998</v>
      </c>
      <c r="J54" s="89">
        <f t="shared" si="3"/>
        <v>114000000</v>
      </c>
      <c r="K54" s="12">
        <f t="shared" si="9"/>
        <v>86.36363636363636</v>
      </c>
      <c r="L54" s="16"/>
    </row>
    <row r="55" spans="1:14" ht="29.45" customHeight="1">
      <c r="A55" s="75" t="s">
        <v>81</v>
      </c>
      <c r="B55" s="76" t="s">
        <v>48</v>
      </c>
      <c r="C55" s="77">
        <f>C56+C60</f>
        <v>5865401574</v>
      </c>
      <c r="D55" s="57">
        <f>D56</f>
        <v>0</v>
      </c>
      <c r="E55" s="79">
        <f>E56</f>
        <v>0</v>
      </c>
      <c r="F55" s="113">
        <f>F56+F60</f>
        <v>0</v>
      </c>
      <c r="G55" s="113">
        <f t="shared" ref="G55:I55" si="36">G56+G60</f>
        <v>0</v>
      </c>
      <c r="H55" s="113">
        <f t="shared" si="36"/>
        <v>0</v>
      </c>
      <c r="I55" s="113">
        <f t="shared" si="36"/>
        <v>0</v>
      </c>
      <c r="J55" s="59">
        <f t="shared" si="3"/>
        <v>5865401574</v>
      </c>
      <c r="K55" s="58">
        <f t="shared" si="9"/>
        <v>100</v>
      </c>
      <c r="L55" s="77"/>
    </row>
    <row r="56" spans="1:14" ht="29.45" customHeight="1">
      <c r="A56" s="69" t="s">
        <v>91</v>
      </c>
      <c r="B56" s="138" t="s">
        <v>75</v>
      </c>
      <c r="C56" s="139">
        <f>C57+C58+C59</f>
        <v>5786321644</v>
      </c>
      <c r="D56" s="114">
        <f>D57+D58+D59</f>
        <v>0</v>
      </c>
      <c r="E56" s="114">
        <f>E57+E58+E59</f>
        <v>0</v>
      </c>
      <c r="F56" s="140">
        <f>F57+F58+F59</f>
        <v>0</v>
      </c>
      <c r="G56" s="140">
        <f t="shared" ref="G56:I56" si="37">G57+G58+G59</f>
        <v>0</v>
      </c>
      <c r="H56" s="140">
        <f t="shared" si="37"/>
        <v>0</v>
      </c>
      <c r="I56" s="140">
        <f t="shared" si="37"/>
        <v>0</v>
      </c>
      <c r="J56" s="52">
        <f>C56-F56</f>
        <v>5786321644</v>
      </c>
      <c r="K56" s="51">
        <f t="shared" si="9"/>
        <v>100</v>
      </c>
      <c r="L56" s="141"/>
    </row>
    <row r="57" spans="1:14" s="144" customFormat="1" ht="29.45" customHeight="1">
      <c r="A57" s="142"/>
      <c r="B57" s="136" t="s">
        <v>76</v>
      </c>
      <c r="C57" s="120">
        <v>167418966</v>
      </c>
      <c r="D57" s="112">
        <f>E57</f>
        <v>0</v>
      </c>
      <c r="E57" s="108">
        <f>F57/C57*100%</f>
        <v>0</v>
      </c>
      <c r="F57" s="107">
        <v>0</v>
      </c>
      <c r="G57" s="111">
        <f>H57</f>
        <v>0</v>
      </c>
      <c r="H57" s="111">
        <f>F57*C57/100</f>
        <v>0</v>
      </c>
      <c r="I57" s="108">
        <f>E57-H57</f>
        <v>0</v>
      </c>
      <c r="J57" s="122">
        <f>C57-F57</f>
        <v>167418966</v>
      </c>
      <c r="K57" s="123">
        <f t="shared" si="9"/>
        <v>100</v>
      </c>
      <c r="L57" s="143"/>
    </row>
    <row r="58" spans="1:14" s="144" customFormat="1" ht="29.45" customHeight="1">
      <c r="A58" s="142"/>
      <c r="B58" s="136" t="s">
        <v>77</v>
      </c>
      <c r="C58" s="120">
        <v>1125522789</v>
      </c>
      <c r="D58" s="112">
        <f t="shared" ref="D58:D59" si="38">E58</f>
        <v>0</v>
      </c>
      <c r="E58" s="108">
        <f t="shared" ref="E58:E59" si="39">F58/C58*100%</f>
        <v>0</v>
      </c>
      <c r="F58" s="107">
        <v>0</v>
      </c>
      <c r="G58" s="111">
        <f t="shared" ref="G58:G59" si="40">H58</f>
        <v>0</v>
      </c>
      <c r="H58" s="111">
        <f t="shared" ref="H58:H59" si="41">F58*C58/100</f>
        <v>0</v>
      </c>
      <c r="I58" s="108">
        <f t="shared" ref="I58:I59" si="42">E58-H58</f>
        <v>0</v>
      </c>
      <c r="J58" s="122">
        <f t="shared" ref="J58:J59" si="43">C58-F58</f>
        <v>1125522789</v>
      </c>
      <c r="K58" s="123">
        <f t="shared" si="9"/>
        <v>100</v>
      </c>
      <c r="L58" s="143"/>
    </row>
    <row r="59" spans="1:14" ht="29.45" customHeight="1">
      <c r="A59" s="15"/>
      <c r="B59" s="136" t="s">
        <v>78</v>
      </c>
      <c r="C59" s="120">
        <v>4493379889</v>
      </c>
      <c r="D59" s="112">
        <f t="shared" si="38"/>
        <v>0</v>
      </c>
      <c r="E59" s="108">
        <f t="shared" si="39"/>
        <v>0</v>
      </c>
      <c r="F59" s="107">
        <v>0</v>
      </c>
      <c r="G59" s="111">
        <f t="shared" si="40"/>
        <v>0</v>
      </c>
      <c r="H59" s="111">
        <f t="shared" si="41"/>
        <v>0</v>
      </c>
      <c r="I59" s="108">
        <f t="shared" si="42"/>
        <v>0</v>
      </c>
      <c r="J59" s="122">
        <f t="shared" si="43"/>
        <v>4493379889</v>
      </c>
      <c r="K59" s="123">
        <f t="shared" si="9"/>
        <v>100</v>
      </c>
      <c r="L59" s="16"/>
    </row>
    <row r="60" spans="1:14" s="47" customFormat="1" ht="19.149999999999999" customHeight="1">
      <c r="A60" s="70" t="s">
        <v>92</v>
      </c>
      <c r="B60" s="29" t="s">
        <v>49</v>
      </c>
      <c r="C60" s="73">
        <f>C61+C62+C63</f>
        <v>79079930</v>
      </c>
      <c r="D60" s="38">
        <f>D61</f>
        <v>0</v>
      </c>
      <c r="E60" s="109">
        <f>D60</f>
        <v>0</v>
      </c>
      <c r="F60" s="109">
        <f>E60</f>
        <v>0</v>
      </c>
      <c r="G60" s="109">
        <f t="shared" ref="G60:I60" si="44">F60</f>
        <v>0</v>
      </c>
      <c r="H60" s="109">
        <f t="shared" si="44"/>
        <v>0</v>
      </c>
      <c r="I60" s="109">
        <f t="shared" si="44"/>
        <v>0</v>
      </c>
      <c r="J60" s="52">
        <f t="shared" si="3"/>
        <v>79079930</v>
      </c>
      <c r="K60" s="51">
        <f t="shared" si="9"/>
        <v>100</v>
      </c>
      <c r="L60" s="73"/>
    </row>
    <row r="61" spans="1:14" ht="19.149999999999999" customHeight="1">
      <c r="A61" s="15"/>
      <c r="B61" s="34" t="s">
        <v>69</v>
      </c>
      <c r="C61" s="24">
        <v>39370112</v>
      </c>
      <c r="D61" s="14">
        <f t="shared" ref="D61:D63" si="45">E61</f>
        <v>0</v>
      </c>
      <c r="E61" s="108">
        <f>F61/C61*100%</f>
        <v>0</v>
      </c>
      <c r="F61" s="107">
        <v>0</v>
      </c>
      <c r="G61" s="111">
        <f>H61</f>
        <v>0</v>
      </c>
      <c r="H61" s="111">
        <f>F61/C61*100</f>
        <v>0</v>
      </c>
      <c r="I61" s="108">
        <f>E61-H61</f>
        <v>0</v>
      </c>
      <c r="J61" s="89">
        <f t="shared" si="3"/>
        <v>39370112</v>
      </c>
      <c r="K61" s="12">
        <f t="shared" si="9"/>
        <v>100</v>
      </c>
      <c r="L61" s="16"/>
    </row>
    <row r="62" spans="1:14" ht="19.149999999999999" customHeight="1">
      <c r="A62" s="18"/>
      <c r="B62" s="34" t="s">
        <v>50</v>
      </c>
      <c r="C62" s="24">
        <v>15600000</v>
      </c>
      <c r="D62" s="14">
        <f t="shared" si="45"/>
        <v>0</v>
      </c>
      <c r="E62" s="108">
        <f t="shared" ref="E62:E63" si="46">F62/C62*100%</f>
        <v>0</v>
      </c>
      <c r="F62" s="107">
        <v>0</v>
      </c>
      <c r="G62" s="111">
        <f t="shared" ref="G62:G63" si="47">H62</f>
        <v>0</v>
      </c>
      <c r="H62" s="111">
        <f t="shared" ref="H62:H63" si="48">F62/C62*100</f>
        <v>0</v>
      </c>
      <c r="I62" s="108">
        <f t="shared" ref="I62:I63" si="49">E62-H62</f>
        <v>0</v>
      </c>
      <c r="J62" s="89">
        <f t="shared" si="3"/>
        <v>15600000</v>
      </c>
      <c r="K62" s="12">
        <f t="shared" si="9"/>
        <v>100</v>
      </c>
      <c r="L62" s="18"/>
    </row>
    <row r="63" spans="1:14" ht="19.149999999999999" customHeight="1">
      <c r="A63" s="18"/>
      <c r="B63" s="34" t="s">
        <v>70</v>
      </c>
      <c r="C63" s="20">
        <v>24109818</v>
      </c>
      <c r="D63" s="14">
        <f t="shared" si="45"/>
        <v>0</v>
      </c>
      <c r="E63" s="108">
        <f t="shared" si="46"/>
        <v>0</v>
      </c>
      <c r="F63" s="107">
        <v>0</v>
      </c>
      <c r="G63" s="111">
        <f t="shared" si="47"/>
        <v>0</v>
      </c>
      <c r="H63" s="111">
        <f t="shared" si="48"/>
        <v>0</v>
      </c>
      <c r="I63" s="108">
        <f t="shared" si="49"/>
        <v>0</v>
      </c>
      <c r="J63" s="89">
        <f t="shared" si="3"/>
        <v>24109818</v>
      </c>
      <c r="K63" s="12">
        <f t="shared" si="9"/>
        <v>100</v>
      </c>
      <c r="L63" s="18"/>
    </row>
    <row r="64" spans="1:14" s="27" customFormat="1" ht="19.149999999999999" customHeight="1">
      <c r="A64" s="65" t="s">
        <v>82</v>
      </c>
      <c r="B64" s="76" t="s">
        <v>51</v>
      </c>
      <c r="C64" s="78">
        <f>C65</f>
        <v>300631000</v>
      </c>
      <c r="D64" s="79">
        <f>D65</f>
        <v>0</v>
      </c>
      <c r="E64" s="79"/>
      <c r="F64" s="80">
        <f>F65</f>
        <v>0</v>
      </c>
      <c r="G64" s="80">
        <f t="shared" ref="G64:I64" si="50">G65</f>
        <v>0</v>
      </c>
      <c r="H64" s="80">
        <f t="shared" si="50"/>
        <v>0</v>
      </c>
      <c r="I64" s="80">
        <f t="shared" si="50"/>
        <v>0</v>
      </c>
      <c r="J64" s="59">
        <f t="shared" si="3"/>
        <v>300631000</v>
      </c>
      <c r="K64" s="58">
        <f t="shared" si="9"/>
        <v>100</v>
      </c>
      <c r="L64" s="82"/>
    </row>
    <row r="65" spans="1:12" ht="37.15" customHeight="1">
      <c r="A65" s="70" t="s">
        <v>93</v>
      </c>
      <c r="B65" s="119" t="s">
        <v>71</v>
      </c>
      <c r="C65" s="84">
        <f>SUM(C66:C68)</f>
        <v>300631000</v>
      </c>
      <c r="D65" s="114">
        <f>SUM(D66:D68)</f>
        <v>0</v>
      </c>
      <c r="E65" s="114">
        <f>SUM(E66:E68)</f>
        <v>0</v>
      </c>
      <c r="F65" s="114">
        <f>SUM(F66:F68)</f>
        <v>0</v>
      </c>
      <c r="G65" s="114">
        <f t="shared" ref="G65:I65" si="51">SUM(G66:G68)</f>
        <v>0</v>
      </c>
      <c r="H65" s="114">
        <f t="shared" si="51"/>
        <v>0</v>
      </c>
      <c r="I65" s="114">
        <f t="shared" si="51"/>
        <v>0</v>
      </c>
      <c r="J65" s="52">
        <f t="shared" si="3"/>
        <v>300631000</v>
      </c>
      <c r="K65" s="51">
        <f t="shared" si="9"/>
        <v>100</v>
      </c>
      <c r="L65" s="83"/>
    </row>
    <row r="66" spans="1:12" ht="76.150000000000006" customHeight="1">
      <c r="A66" s="43"/>
      <c r="B66" s="64" t="s">
        <v>52</v>
      </c>
      <c r="C66" s="26">
        <v>99126000</v>
      </c>
      <c r="D66" s="14">
        <f t="shared" ref="D66:D68" si="52">E66</f>
        <v>0</v>
      </c>
      <c r="E66" s="108">
        <f>F66/C66*100%</f>
        <v>0</v>
      </c>
      <c r="F66" s="115">
        <v>0</v>
      </c>
      <c r="G66" s="116">
        <f>H66</f>
        <v>0</v>
      </c>
      <c r="H66" s="116">
        <f>F66/C66*100</f>
        <v>0</v>
      </c>
      <c r="I66" s="108">
        <f>E66-H66</f>
        <v>0</v>
      </c>
      <c r="J66" s="89">
        <f t="shared" si="3"/>
        <v>99126000</v>
      </c>
      <c r="K66" s="12">
        <f t="shared" si="9"/>
        <v>100</v>
      </c>
      <c r="L66" s="19"/>
    </row>
    <row r="67" spans="1:12" ht="48" customHeight="1">
      <c r="A67" s="41"/>
      <c r="B67" s="64" t="s">
        <v>53</v>
      </c>
      <c r="C67" s="26">
        <v>163575000</v>
      </c>
      <c r="D67" s="14">
        <f t="shared" si="52"/>
        <v>0</v>
      </c>
      <c r="E67" s="108">
        <f t="shared" ref="E67:E68" si="53">F67/C67*100%</f>
        <v>0</v>
      </c>
      <c r="F67" s="115">
        <v>0</v>
      </c>
      <c r="G67" s="116">
        <f t="shared" ref="G67:G68" si="54">H67</f>
        <v>0</v>
      </c>
      <c r="H67" s="116">
        <f t="shared" ref="H67:H68" si="55">F67/C67*100</f>
        <v>0</v>
      </c>
      <c r="I67" s="108">
        <f t="shared" ref="I67:I68" si="56">E67-H67</f>
        <v>0</v>
      </c>
      <c r="J67" s="89">
        <f t="shared" si="3"/>
        <v>163575000</v>
      </c>
      <c r="K67" s="12">
        <f t="shared" si="9"/>
        <v>100</v>
      </c>
      <c r="L67" s="19"/>
    </row>
    <row r="68" spans="1:12" ht="19.149999999999999" customHeight="1">
      <c r="A68" s="15"/>
      <c r="B68" s="63" t="s">
        <v>54</v>
      </c>
      <c r="C68" s="26">
        <v>37930000</v>
      </c>
      <c r="D68" s="124">
        <f t="shared" si="52"/>
        <v>0</v>
      </c>
      <c r="E68" s="108">
        <f t="shared" si="53"/>
        <v>0</v>
      </c>
      <c r="F68" s="115">
        <v>0</v>
      </c>
      <c r="G68" s="116">
        <f t="shared" si="54"/>
        <v>0</v>
      </c>
      <c r="H68" s="116">
        <f t="shared" si="55"/>
        <v>0</v>
      </c>
      <c r="I68" s="108">
        <f t="shared" si="56"/>
        <v>0</v>
      </c>
      <c r="J68" s="125">
        <f t="shared" si="3"/>
        <v>37930000</v>
      </c>
      <c r="K68" s="7">
        <f t="shared" si="9"/>
        <v>100</v>
      </c>
      <c r="L68" s="19"/>
    </row>
    <row r="69" spans="1:12">
      <c r="G69" s="117"/>
      <c r="H69" s="117"/>
    </row>
    <row r="70" spans="1:12">
      <c r="G70" s="117"/>
      <c r="H70" s="117"/>
    </row>
    <row r="71" spans="1:12">
      <c r="G71" s="117"/>
      <c r="H71" s="117"/>
    </row>
    <row r="72" spans="1:12">
      <c r="G72" s="117"/>
      <c r="H72" s="117"/>
    </row>
    <row r="73" spans="1:12">
      <c r="G73" s="117"/>
      <c r="H73" s="117"/>
    </row>
    <row r="74" spans="1:12">
      <c r="G74" s="117"/>
      <c r="H74" s="117"/>
    </row>
    <row r="75" spans="1:12">
      <c r="G75" s="117"/>
      <c r="H75" s="117"/>
    </row>
    <row r="76" spans="1:12">
      <c r="G76" s="117"/>
      <c r="H76" s="117"/>
    </row>
    <row r="77" spans="1:12">
      <c r="G77" s="117"/>
      <c r="H77" s="117"/>
    </row>
    <row r="78" spans="1:12">
      <c r="G78" s="117"/>
      <c r="H78" s="117"/>
    </row>
    <row r="79" spans="1:12">
      <c r="G79" s="117"/>
      <c r="H79" s="117"/>
    </row>
    <row r="80" spans="1:12">
      <c r="G80" s="117"/>
      <c r="H80" s="117"/>
    </row>
    <row r="81" spans="7:8">
      <c r="G81" s="117"/>
      <c r="H81" s="117"/>
    </row>
    <row r="82" spans="7:8">
      <c r="G82" s="117"/>
      <c r="H82" s="117"/>
    </row>
    <row r="83" spans="7:8">
      <c r="G83" s="117"/>
      <c r="H83" s="117"/>
    </row>
    <row r="84" spans="7:8">
      <c r="G84" s="117"/>
      <c r="H84" s="117"/>
    </row>
    <row r="85" spans="7:8">
      <c r="G85" s="117"/>
      <c r="H85" s="117"/>
    </row>
    <row r="86" spans="7:8">
      <c r="G86" s="117"/>
      <c r="H86" s="117"/>
    </row>
    <row r="87" spans="7:8">
      <c r="G87" s="117"/>
      <c r="H87" s="117"/>
    </row>
    <row r="88" spans="7:8">
      <c r="G88" s="117"/>
      <c r="H88" s="117"/>
    </row>
    <row r="89" spans="7:8">
      <c r="G89" s="117"/>
      <c r="H89" s="117"/>
    </row>
    <row r="90" spans="7:8">
      <c r="G90" s="117"/>
      <c r="H90" s="117"/>
    </row>
    <row r="91" spans="7:8">
      <c r="G91" s="117"/>
      <c r="H91" s="117"/>
    </row>
    <row r="92" spans="7:8">
      <c r="G92" s="117"/>
      <c r="H92" s="117"/>
    </row>
    <row r="93" spans="7:8">
      <c r="G93" s="117"/>
      <c r="H93" s="117"/>
    </row>
    <row r="94" spans="7:8">
      <c r="G94" s="117"/>
      <c r="H94" s="117"/>
    </row>
    <row r="95" spans="7:8">
      <c r="G95" s="117"/>
      <c r="H95" s="117"/>
    </row>
    <row r="96" spans="7:8">
      <c r="G96" s="117"/>
      <c r="H96" s="117"/>
    </row>
    <row r="97" spans="7:8">
      <c r="G97" s="117"/>
      <c r="H97" s="117"/>
    </row>
    <row r="98" spans="7:8">
      <c r="G98" s="117"/>
      <c r="H98" s="117"/>
    </row>
    <row r="99" spans="7:8">
      <c r="G99" s="117"/>
      <c r="H99" s="117"/>
    </row>
    <row r="100" spans="7:8">
      <c r="G100" s="117"/>
      <c r="H100" s="117"/>
    </row>
    <row r="101" spans="7:8">
      <c r="G101" s="117"/>
      <c r="H101" s="117"/>
    </row>
    <row r="102" spans="7:8">
      <c r="G102" s="117"/>
      <c r="H102" s="117"/>
    </row>
    <row r="103" spans="7:8">
      <c r="G103" s="117"/>
      <c r="H103" s="117"/>
    </row>
    <row r="104" spans="7:8">
      <c r="G104" s="117"/>
      <c r="H104" s="117"/>
    </row>
    <row r="105" spans="7:8">
      <c r="G105" s="117"/>
      <c r="H105" s="117"/>
    </row>
    <row r="106" spans="7:8">
      <c r="G106" s="117"/>
      <c r="H106" s="117"/>
    </row>
    <row r="107" spans="7:8">
      <c r="G107" s="117"/>
      <c r="H107" s="117"/>
    </row>
    <row r="108" spans="7:8">
      <c r="G108" s="117"/>
      <c r="H108" s="117"/>
    </row>
    <row r="109" spans="7:8">
      <c r="G109" s="117"/>
      <c r="H109" s="117"/>
    </row>
    <row r="110" spans="7:8">
      <c r="G110" s="117"/>
      <c r="H110" s="117"/>
    </row>
    <row r="111" spans="7:8">
      <c r="G111" s="117"/>
      <c r="H111" s="117"/>
    </row>
    <row r="112" spans="7:8">
      <c r="G112" s="117"/>
      <c r="H112" s="117"/>
    </row>
    <row r="113" spans="7:8">
      <c r="G113" s="117"/>
      <c r="H113" s="117"/>
    </row>
    <row r="114" spans="7:8">
      <c r="G114" s="117"/>
      <c r="H114" s="117"/>
    </row>
    <row r="115" spans="7:8">
      <c r="G115" s="117"/>
      <c r="H115" s="117"/>
    </row>
    <row r="116" spans="7:8">
      <c r="G116" s="117"/>
      <c r="H116" s="117"/>
    </row>
    <row r="117" spans="7:8">
      <c r="G117" s="117"/>
      <c r="H117" s="117"/>
    </row>
    <row r="118" spans="7:8">
      <c r="G118" s="117"/>
      <c r="H118" s="117"/>
    </row>
    <row r="119" spans="7:8">
      <c r="G119" s="117"/>
      <c r="H119" s="117"/>
    </row>
    <row r="120" spans="7:8">
      <c r="G120" s="117"/>
      <c r="H120" s="117"/>
    </row>
    <row r="121" spans="7:8">
      <c r="G121" s="117"/>
      <c r="H121" s="117"/>
    </row>
    <row r="122" spans="7:8">
      <c r="G122" s="117"/>
      <c r="H122" s="117"/>
    </row>
    <row r="123" spans="7:8">
      <c r="G123" s="117"/>
      <c r="H123" s="117"/>
    </row>
    <row r="124" spans="7:8">
      <c r="G124" s="117"/>
      <c r="H124" s="117"/>
    </row>
    <row r="125" spans="7:8">
      <c r="G125" s="117"/>
      <c r="H125" s="117"/>
    </row>
    <row r="126" spans="7:8">
      <c r="G126" s="117"/>
      <c r="H126" s="117"/>
    </row>
    <row r="127" spans="7:8">
      <c r="G127" s="117"/>
      <c r="H127" s="117"/>
    </row>
    <row r="128" spans="7:8">
      <c r="G128" s="117"/>
      <c r="H128" s="117"/>
    </row>
    <row r="129" spans="7:8">
      <c r="G129" s="117"/>
      <c r="H129" s="117"/>
    </row>
    <row r="130" spans="7:8">
      <c r="G130" s="117"/>
      <c r="H130" s="117"/>
    </row>
    <row r="131" spans="7:8">
      <c r="G131" s="117"/>
      <c r="H131" s="117"/>
    </row>
    <row r="132" spans="7:8">
      <c r="G132" s="117"/>
      <c r="H132" s="117"/>
    </row>
    <row r="133" spans="7:8">
      <c r="G133" s="117"/>
      <c r="H133" s="117"/>
    </row>
    <row r="134" spans="7:8">
      <c r="G134" s="117"/>
      <c r="H134" s="117"/>
    </row>
    <row r="135" spans="7:8">
      <c r="G135" s="117"/>
      <c r="H135" s="117"/>
    </row>
    <row r="136" spans="7:8">
      <c r="G136" s="117"/>
      <c r="H136" s="117"/>
    </row>
    <row r="137" spans="7:8">
      <c r="G137" s="117"/>
      <c r="H137" s="117"/>
    </row>
    <row r="138" spans="7:8">
      <c r="G138" s="117"/>
      <c r="H138" s="117"/>
    </row>
    <row r="139" spans="7:8">
      <c r="G139" s="117"/>
      <c r="H139" s="117"/>
    </row>
    <row r="140" spans="7:8">
      <c r="G140" s="117"/>
      <c r="H140" s="117"/>
    </row>
    <row r="141" spans="7:8">
      <c r="G141" s="117"/>
      <c r="H141" s="117"/>
    </row>
    <row r="142" spans="7:8">
      <c r="G142" s="117"/>
      <c r="H142" s="117"/>
    </row>
    <row r="143" spans="7:8">
      <c r="G143" s="117"/>
      <c r="H143" s="117"/>
    </row>
    <row r="144" spans="7:8">
      <c r="G144" s="117"/>
      <c r="H144" s="117"/>
    </row>
    <row r="145" spans="7:8">
      <c r="G145" s="117"/>
      <c r="H145" s="117"/>
    </row>
    <row r="146" spans="7:8">
      <c r="G146" s="117"/>
      <c r="H146" s="117"/>
    </row>
    <row r="147" spans="7:8">
      <c r="G147" s="117"/>
      <c r="H147" s="117"/>
    </row>
    <row r="148" spans="7:8">
      <c r="G148" s="117"/>
      <c r="H148" s="117"/>
    </row>
    <row r="149" spans="7:8">
      <c r="G149" s="117"/>
      <c r="H149" s="117"/>
    </row>
    <row r="150" spans="7:8">
      <c r="G150" s="117"/>
      <c r="H150" s="117"/>
    </row>
    <row r="151" spans="7:8">
      <c r="G151" s="117"/>
      <c r="H151" s="117"/>
    </row>
    <row r="152" spans="7:8">
      <c r="G152" s="117"/>
      <c r="H152" s="117"/>
    </row>
    <row r="153" spans="7:8">
      <c r="G153" s="117"/>
      <c r="H153" s="117"/>
    </row>
    <row r="154" spans="7:8">
      <c r="G154" s="117"/>
      <c r="H154" s="117"/>
    </row>
    <row r="155" spans="7:8">
      <c r="G155" s="117"/>
      <c r="H155" s="117"/>
    </row>
    <row r="156" spans="7:8">
      <c r="G156" s="117"/>
      <c r="H156" s="117"/>
    </row>
    <row r="157" spans="7:8">
      <c r="G157" s="117"/>
      <c r="H157" s="117"/>
    </row>
    <row r="158" spans="7:8">
      <c r="G158" s="117"/>
      <c r="H158" s="117"/>
    </row>
    <row r="159" spans="7:8">
      <c r="G159" s="117"/>
      <c r="H159" s="117"/>
    </row>
    <row r="160" spans="7:8">
      <c r="G160" s="117"/>
      <c r="H160" s="117"/>
    </row>
    <row r="161" spans="7:8">
      <c r="G161" s="117"/>
      <c r="H161" s="117"/>
    </row>
    <row r="162" spans="7:8">
      <c r="G162" s="117"/>
      <c r="H162" s="117"/>
    </row>
    <row r="163" spans="7:8">
      <c r="G163" s="117"/>
      <c r="H163" s="117"/>
    </row>
    <row r="164" spans="7:8">
      <c r="G164" s="117"/>
      <c r="H164" s="117"/>
    </row>
    <row r="165" spans="7:8">
      <c r="G165" s="117"/>
      <c r="H165" s="117"/>
    </row>
    <row r="166" spans="7:8">
      <c r="G166" s="117"/>
      <c r="H166" s="117"/>
    </row>
    <row r="167" spans="7:8">
      <c r="G167" s="117"/>
      <c r="H167" s="117"/>
    </row>
    <row r="168" spans="7:8">
      <c r="G168" s="117"/>
      <c r="H168" s="117"/>
    </row>
    <row r="169" spans="7:8">
      <c r="G169" s="117"/>
      <c r="H169" s="117"/>
    </row>
    <row r="170" spans="7:8">
      <c r="G170" s="117"/>
      <c r="H170" s="117"/>
    </row>
    <row r="171" spans="7:8">
      <c r="G171" s="117"/>
      <c r="H171" s="117"/>
    </row>
    <row r="172" spans="7:8">
      <c r="G172" s="117"/>
      <c r="H172" s="117"/>
    </row>
    <row r="173" spans="7:8">
      <c r="G173" s="117"/>
      <c r="H173" s="117"/>
    </row>
    <row r="174" spans="7:8">
      <c r="G174" s="117"/>
      <c r="H174" s="117"/>
    </row>
    <row r="175" spans="7:8">
      <c r="G175" s="117"/>
      <c r="H175" s="117"/>
    </row>
    <row r="176" spans="7:8">
      <c r="G176" s="117"/>
      <c r="H176" s="117"/>
    </row>
    <row r="177" spans="7:8">
      <c r="G177" s="117"/>
      <c r="H177" s="117"/>
    </row>
    <row r="178" spans="7:8">
      <c r="G178" s="117"/>
      <c r="H178" s="117"/>
    </row>
    <row r="179" spans="7:8">
      <c r="G179" s="117"/>
      <c r="H179" s="117"/>
    </row>
    <row r="180" spans="7:8">
      <c r="G180" s="117"/>
      <c r="H180" s="117"/>
    </row>
    <row r="181" spans="7:8">
      <c r="G181" s="117"/>
      <c r="H181" s="117"/>
    </row>
    <row r="182" spans="7:8">
      <c r="G182" s="117"/>
      <c r="H182" s="117"/>
    </row>
    <row r="183" spans="7:8">
      <c r="G183" s="117"/>
      <c r="H183" s="117"/>
    </row>
    <row r="184" spans="7:8">
      <c r="G184" s="117"/>
      <c r="H184" s="117"/>
    </row>
    <row r="185" spans="7:8">
      <c r="G185" s="117"/>
      <c r="H185" s="117"/>
    </row>
    <row r="186" spans="7:8">
      <c r="G186" s="117"/>
      <c r="H186" s="117"/>
    </row>
    <row r="187" spans="7:8">
      <c r="G187" s="117"/>
      <c r="H187" s="117"/>
    </row>
    <row r="188" spans="7:8">
      <c r="G188" s="117"/>
      <c r="H188" s="117"/>
    </row>
    <row r="189" spans="7:8">
      <c r="G189" s="117"/>
      <c r="H189" s="117"/>
    </row>
    <row r="190" spans="7:8">
      <c r="G190" s="117"/>
      <c r="H190" s="117"/>
    </row>
    <row r="191" spans="7:8">
      <c r="G191" s="117"/>
      <c r="H191" s="117"/>
    </row>
    <row r="192" spans="7:8">
      <c r="G192" s="117"/>
      <c r="H192" s="117"/>
    </row>
    <row r="193" spans="7:8">
      <c r="G193" s="117"/>
      <c r="H193" s="117"/>
    </row>
    <row r="194" spans="7:8">
      <c r="G194" s="117"/>
      <c r="H194" s="117"/>
    </row>
    <row r="195" spans="7:8">
      <c r="G195" s="117"/>
      <c r="H195" s="117"/>
    </row>
    <row r="196" spans="7:8">
      <c r="G196" s="117"/>
      <c r="H196" s="117"/>
    </row>
    <row r="197" spans="7:8">
      <c r="G197" s="117"/>
      <c r="H197" s="117"/>
    </row>
    <row r="198" spans="7:8">
      <c r="G198" s="117"/>
      <c r="H198" s="117"/>
    </row>
    <row r="199" spans="7:8">
      <c r="G199" s="117"/>
      <c r="H199" s="117"/>
    </row>
    <row r="200" spans="7:8">
      <c r="G200" s="117"/>
      <c r="H200" s="117"/>
    </row>
    <row r="201" spans="7:8">
      <c r="G201" s="117"/>
      <c r="H201" s="117"/>
    </row>
    <row r="202" spans="7:8">
      <c r="G202" s="117"/>
      <c r="H202" s="117"/>
    </row>
    <row r="203" spans="7:8">
      <c r="G203" s="117"/>
      <c r="H203" s="117"/>
    </row>
    <row r="204" spans="7:8">
      <c r="G204" s="117"/>
      <c r="H204" s="117"/>
    </row>
    <row r="205" spans="7:8">
      <c r="G205" s="117"/>
      <c r="H205" s="117"/>
    </row>
    <row r="206" spans="7:8">
      <c r="G206" s="117"/>
      <c r="H206" s="117"/>
    </row>
    <row r="207" spans="7:8">
      <c r="G207" s="117"/>
      <c r="H207" s="117"/>
    </row>
    <row r="208" spans="7:8">
      <c r="G208" s="117"/>
      <c r="H208" s="117"/>
    </row>
    <row r="209" spans="7:8">
      <c r="G209" s="117"/>
      <c r="H209" s="117"/>
    </row>
    <row r="210" spans="7:8">
      <c r="G210" s="117"/>
      <c r="H210" s="117"/>
    </row>
    <row r="211" spans="7:8">
      <c r="G211" s="117"/>
      <c r="H211" s="117"/>
    </row>
    <row r="212" spans="7:8">
      <c r="G212" s="117"/>
      <c r="H212" s="117"/>
    </row>
    <row r="213" spans="7:8">
      <c r="G213" s="117"/>
      <c r="H213" s="117"/>
    </row>
    <row r="214" spans="7:8">
      <c r="G214" s="117"/>
      <c r="H214" s="117"/>
    </row>
    <row r="215" spans="7:8">
      <c r="G215" s="117"/>
      <c r="H215" s="117"/>
    </row>
    <row r="216" spans="7:8">
      <c r="G216" s="117"/>
      <c r="H216" s="117"/>
    </row>
    <row r="217" spans="7:8">
      <c r="G217" s="117"/>
      <c r="H217" s="117"/>
    </row>
    <row r="218" spans="7:8">
      <c r="G218" s="117"/>
      <c r="H218" s="117"/>
    </row>
    <row r="219" spans="7:8">
      <c r="G219" s="117"/>
      <c r="H219" s="117"/>
    </row>
    <row r="220" spans="7:8">
      <c r="G220" s="117"/>
      <c r="H220" s="117"/>
    </row>
    <row r="221" spans="7:8">
      <c r="G221" s="117"/>
      <c r="H221" s="117"/>
    </row>
    <row r="222" spans="7:8">
      <c r="G222" s="117"/>
      <c r="H222" s="117"/>
    </row>
    <row r="223" spans="7:8">
      <c r="G223" s="117"/>
      <c r="H223" s="117"/>
    </row>
    <row r="224" spans="7:8">
      <c r="G224" s="117"/>
      <c r="H224" s="117"/>
    </row>
    <row r="225" spans="7:8">
      <c r="G225" s="117"/>
      <c r="H225" s="117"/>
    </row>
  </sheetData>
  <mergeCells count="13">
    <mergeCell ref="D8:E8"/>
    <mergeCell ref="F8:H8"/>
    <mergeCell ref="A12:B12"/>
    <mergeCell ref="A1:L1"/>
    <mergeCell ref="A2:L2"/>
    <mergeCell ref="A7:A9"/>
    <mergeCell ref="B7:B9"/>
    <mergeCell ref="C7:C9"/>
    <mergeCell ref="D7:H7"/>
    <mergeCell ref="I7:I9"/>
    <mergeCell ref="J7:J9"/>
    <mergeCell ref="K7:K9"/>
    <mergeCell ref="L7:L9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300" r:id="rId1"/>
  <rowBreaks count="1" manualBreakCount="1">
    <brk id="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Desember</vt:lpstr>
      <vt:lpstr>November</vt:lpstr>
      <vt:lpstr>Oktober</vt:lpstr>
      <vt:lpstr>September</vt:lpstr>
      <vt:lpstr>Agustus</vt:lpstr>
      <vt:lpstr>Juli</vt:lpstr>
      <vt:lpstr>Juni</vt:lpstr>
      <vt:lpstr>Mei</vt:lpstr>
      <vt:lpstr>April</vt:lpstr>
      <vt:lpstr>Maret</vt:lpstr>
      <vt:lpstr>Februari</vt:lpstr>
      <vt:lpstr>Januari</vt:lpstr>
      <vt:lpstr>Anggaran Kas</vt:lpstr>
      <vt:lpstr>Kec.Taktakan-Grfk</vt:lpstr>
      <vt:lpstr>Agustus!Print_Area</vt:lpstr>
      <vt:lpstr>April!Print_Area</vt:lpstr>
      <vt:lpstr>Desember!Print_Area</vt:lpstr>
      <vt:lpstr>Februari!Print_Area</vt:lpstr>
      <vt:lpstr>Januari!Print_Area</vt:lpstr>
      <vt:lpstr>Juli!Print_Area</vt:lpstr>
      <vt:lpstr>Juni!Print_Area</vt:lpstr>
      <vt:lpstr>'Kec.Taktakan-Grfk'!Print_Area</vt:lpstr>
      <vt:lpstr>Maret!Print_Area</vt:lpstr>
      <vt:lpstr>Mei!Print_Area</vt:lpstr>
      <vt:lpstr>November!Print_Area</vt:lpstr>
      <vt:lpstr>Oktober!Print_Area</vt:lpstr>
      <vt:lpstr>September!Print_Area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2021-12-06T01:49:17Z</cp:lastPrinted>
  <dcterms:created xsi:type="dcterms:W3CDTF">2017-03-15T15:29:40Z</dcterms:created>
  <dcterms:modified xsi:type="dcterms:W3CDTF">2022-05-12T08:40:07Z</dcterms:modified>
</cp:coreProperties>
</file>